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/>
  <mc:AlternateContent xmlns:mc="http://schemas.openxmlformats.org/markup-compatibility/2006">
    <mc:Choice Requires="x15">
      <x15ac:absPath xmlns:x15ac="http://schemas.microsoft.com/office/spreadsheetml/2010/11/ac" url="C:\Users\gunka\Desktop\"/>
    </mc:Choice>
  </mc:AlternateContent>
  <xr:revisionPtr revIDLastSave="0" documentId="8_{B375D192-A36C-4A01-A5E9-D34054E5A2EB}" xr6:coauthVersionLast="47" xr6:coauthVersionMax="47" xr10:uidLastSave="{00000000-0000-0000-0000-000000000000}"/>
  <bookViews>
    <workbookView xWindow="-120" yWindow="-120" windowWidth="29040" windowHeight="15840" firstSheet="1" activeTab="8" xr2:uid="{00000000-000D-0000-FFFF-FFFF00000000}"/>
  </bookViews>
  <sheets>
    <sheet name="Uvod" sheetId="3" state="hidden" r:id="rId1"/>
    <sheet name="Grafy" sheetId="24" r:id="rId2"/>
    <sheet name="1. k" sheetId="10" r:id="rId3"/>
    <sheet name="2. k" sheetId="6" r:id="rId4"/>
    <sheet name="3. k" sheetId="11" r:id="rId5"/>
    <sheet name="4. k" sheetId="12" r:id="rId6"/>
    <sheet name="5. k" sheetId="13" r:id="rId7"/>
    <sheet name="6. k" sheetId="14" r:id="rId8"/>
    <sheet name="7. k" sheetId="15" r:id="rId9"/>
    <sheet name="8. k" sheetId="16" r:id="rId10"/>
    <sheet name="9. k" sheetId="17" r:id="rId11"/>
    <sheet name="10. k" sheetId="18" r:id="rId12"/>
    <sheet name="11. k" sheetId="19" r:id="rId13"/>
    <sheet name="12. k" sheetId="20" r:id="rId14"/>
    <sheet name="13. k" sheetId="21" r:id="rId15"/>
    <sheet name="14. k" sheetId="22" r:id="rId16"/>
    <sheet name="15. k" sheetId="23" r:id="rId1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24" l="1"/>
  <c r="I33" i="24"/>
  <c r="I34" i="24"/>
  <c r="I35" i="24"/>
  <c r="I36" i="24"/>
  <c r="I37" i="24"/>
  <c r="I38" i="24"/>
  <c r="I39" i="24"/>
  <c r="I40" i="24"/>
  <c r="I41" i="24"/>
  <c r="G29" i="15"/>
  <c r="J29" i="15" s="1"/>
  <c r="C29" i="15" s="1"/>
  <c r="H29" i="15"/>
  <c r="G28" i="15"/>
  <c r="J28" i="15" s="1"/>
  <c r="C28" i="15" s="1"/>
  <c r="H28" i="15"/>
  <c r="G27" i="15"/>
  <c r="J27" i="15" s="1"/>
  <c r="C27" i="15" s="1"/>
  <c r="H27" i="15"/>
  <c r="G23" i="15"/>
  <c r="J23" i="15" s="1"/>
  <c r="G24" i="15"/>
  <c r="J24" i="15" s="1"/>
  <c r="G25" i="15"/>
  <c r="J25" i="15" s="1"/>
  <c r="G26" i="15"/>
  <c r="I26" i="15" s="1"/>
  <c r="H23" i="15"/>
  <c r="H24" i="15"/>
  <c r="H25" i="15"/>
  <c r="H26" i="15"/>
  <c r="S13" i="15"/>
  <c r="V13" i="15" s="1"/>
  <c r="S14" i="15"/>
  <c r="V14" i="15" s="1"/>
  <c r="S15" i="15"/>
  <c r="V15" i="15" s="1"/>
  <c r="T13" i="15"/>
  <c r="T14" i="15"/>
  <c r="T15" i="15"/>
  <c r="I28" i="15" l="1"/>
  <c r="I23" i="15"/>
  <c r="I29" i="15"/>
  <c r="I27" i="15"/>
  <c r="U13" i="15"/>
  <c r="I25" i="15"/>
  <c r="I24" i="15"/>
  <c r="J26" i="15"/>
  <c r="U14" i="15"/>
  <c r="U15" i="15"/>
  <c r="S13" i="14" l="1"/>
  <c r="V13" i="14" s="1"/>
  <c r="S14" i="14"/>
  <c r="V14" i="14" s="1"/>
  <c r="S15" i="14"/>
  <c r="V15" i="14" s="1"/>
  <c r="T13" i="14"/>
  <c r="T14" i="14"/>
  <c r="T15" i="14"/>
  <c r="U13" i="14"/>
  <c r="G23" i="14"/>
  <c r="J23" i="14" s="1"/>
  <c r="G24" i="14"/>
  <c r="J24" i="14" s="1"/>
  <c r="G25" i="14"/>
  <c r="I25" i="14" s="1"/>
  <c r="G26" i="14"/>
  <c r="J26" i="14" s="1"/>
  <c r="G27" i="14"/>
  <c r="J27" i="14" s="1"/>
  <c r="H23" i="14"/>
  <c r="H24" i="14"/>
  <c r="H25" i="14"/>
  <c r="H26" i="14"/>
  <c r="H27" i="14"/>
  <c r="I23" i="14"/>
  <c r="I24" i="14"/>
  <c r="U14" i="14" l="1"/>
  <c r="U15" i="14"/>
  <c r="J25" i="14"/>
  <c r="I26" i="14"/>
  <c r="I27" i="14"/>
  <c r="G32" i="24" l="1"/>
  <c r="G26" i="13"/>
  <c r="J26" i="13" s="1"/>
  <c r="C26" i="13" s="1"/>
  <c r="H26" i="13"/>
  <c r="I26" i="13"/>
  <c r="G25" i="13"/>
  <c r="J25" i="13" s="1"/>
  <c r="H25" i="13"/>
  <c r="I25" i="13"/>
  <c r="G24" i="13"/>
  <c r="J24" i="13" s="1"/>
  <c r="H24" i="13"/>
  <c r="G23" i="13"/>
  <c r="J23" i="13" s="1"/>
  <c r="H23" i="13"/>
  <c r="S13" i="13"/>
  <c r="V13" i="13" s="1"/>
  <c r="S14" i="13"/>
  <c r="V14" i="13" s="1"/>
  <c r="S15" i="13"/>
  <c r="U15" i="13" s="1"/>
  <c r="S16" i="13"/>
  <c r="U16" i="13" s="1"/>
  <c r="S17" i="13"/>
  <c r="V17" i="13" s="1"/>
  <c r="S18" i="13"/>
  <c r="V18" i="13" s="1"/>
  <c r="T13" i="13"/>
  <c r="T14" i="13"/>
  <c r="T15" i="13"/>
  <c r="T16" i="13"/>
  <c r="T17" i="13"/>
  <c r="T18" i="13"/>
  <c r="U13" i="13"/>
  <c r="U18" i="13"/>
  <c r="Q81" i="24"/>
  <c r="Q82" i="24"/>
  <c r="Q80" i="24"/>
  <c r="Q84" i="24"/>
  <c r="Q85" i="24"/>
  <c r="Q83" i="24"/>
  <c r="Q86" i="24"/>
  <c r="Q87" i="24"/>
  <c r="Q89" i="24"/>
  <c r="Q88" i="24"/>
  <c r="P81" i="24"/>
  <c r="P82" i="24"/>
  <c r="P80" i="24"/>
  <c r="P84" i="24"/>
  <c r="P85" i="24"/>
  <c r="P83" i="24"/>
  <c r="P86" i="24"/>
  <c r="P87" i="24"/>
  <c r="P89" i="24"/>
  <c r="P88" i="24"/>
  <c r="O81" i="24"/>
  <c r="O82" i="24"/>
  <c r="O80" i="24"/>
  <c r="O84" i="24"/>
  <c r="O85" i="24"/>
  <c r="O83" i="24"/>
  <c r="O86" i="24"/>
  <c r="O87" i="24"/>
  <c r="O89" i="24"/>
  <c r="O88" i="24"/>
  <c r="N81" i="24"/>
  <c r="N82" i="24"/>
  <c r="N80" i="24"/>
  <c r="N84" i="24"/>
  <c r="N85" i="24"/>
  <c r="N83" i="24"/>
  <c r="N86" i="24"/>
  <c r="N87" i="24"/>
  <c r="N89" i="24"/>
  <c r="N88" i="24"/>
  <c r="M81" i="24"/>
  <c r="M82" i="24"/>
  <c r="M80" i="24"/>
  <c r="M84" i="24"/>
  <c r="M85" i="24"/>
  <c r="M83" i="24"/>
  <c r="M86" i="24"/>
  <c r="M87" i="24"/>
  <c r="M89" i="24"/>
  <c r="M88" i="24"/>
  <c r="L81" i="24"/>
  <c r="L82" i="24"/>
  <c r="L80" i="24"/>
  <c r="L84" i="24"/>
  <c r="L85" i="24"/>
  <c r="L83" i="24"/>
  <c r="L86" i="24"/>
  <c r="L87" i="24"/>
  <c r="L89" i="24"/>
  <c r="L88" i="24"/>
  <c r="K81" i="24"/>
  <c r="K82" i="24"/>
  <c r="K80" i="24"/>
  <c r="K84" i="24"/>
  <c r="K85" i="24"/>
  <c r="K83" i="24"/>
  <c r="K86" i="24"/>
  <c r="K87" i="24"/>
  <c r="K89" i="24"/>
  <c r="K88" i="24"/>
  <c r="J81" i="24"/>
  <c r="J82" i="24"/>
  <c r="J80" i="24"/>
  <c r="J84" i="24"/>
  <c r="J85" i="24"/>
  <c r="J83" i="24"/>
  <c r="J86" i="24"/>
  <c r="J87" i="24"/>
  <c r="J89" i="24"/>
  <c r="J88" i="24"/>
  <c r="I88" i="24"/>
  <c r="G88" i="24"/>
  <c r="H88" i="24"/>
  <c r="F81" i="24"/>
  <c r="F82" i="24"/>
  <c r="F80" i="24"/>
  <c r="F84" i="24"/>
  <c r="F85" i="24"/>
  <c r="F83" i="24"/>
  <c r="F86" i="24"/>
  <c r="F87" i="24"/>
  <c r="F89" i="24"/>
  <c r="F88" i="24"/>
  <c r="E81" i="24"/>
  <c r="E82" i="24"/>
  <c r="E80" i="24"/>
  <c r="E84" i="24"/>
  <c r="E85" i="24"/>
  <c r="E83" i="24"/>
  <c r="E86" i="24"/>
  <c r="E87" i="24"/>
  <c r="E89" i="24"/>
  <c r="E88" i="24"/>
  <c r="C81" i="24"/>
  <c r="D81" i="24"/>
  <c r="D82" i="24"/>
  <c r="D80" i="24"/>
  <c r="D84" i="24"/>
  <c r="D85" i="24"/>
  <c r="D83" i="24"/>
  <c r="D86" i="24"/>
  <c r="D87" i="24"/>
  <c r="D89" i="24"/>
  <c r="D88" i="24"/>
  <c r="C82" i="24"/>
  <c r="C80" i="24"/>
  <c r="C84" i="24"/>
  <c r="C85" i="24"/>
  <c r="C83" i="24"/>
  <c r="C86" i="24"/>
  <c r="C87" i="24"/>
  <c r="C89" i="24"/>
  <c r="C88" i="24"/>
  <c r="F54" i="24"/>
  <c r="F57" i="24"/>
  <c r="F58" i="24"/>
  <c r="F59" i="24"/>
  <c r="F62" i="24"/>
  <c r="F60" i="24"/>
  <c r="F56" i="24"/>
  <c r="F65" i="24"/>
  <c r="F55" i="24"/>
  <c r="F69" i="24"/>
  <c r="F71" i="24"/>
  <c r="F61" i="24"/>
  <c r="F67" i="24"/>
  <c r="F66" i="24"/>
  <c r="F64" i="24"/>
  <c r="F70" i="24"/>
  <c r="F72" i="24"/>
  <c r="F68" i="24"/>
  <c r="F63" i="24"/>
  <c r="E54" i="24"/>
  <c r="E57" i="24"/>
  <c r="E58" i="24"/>
  <c r="E59" i="24"/>
  <c r="E62" i="24"/>
  <c r="E60" i="24"/>
  <c r="E56" i="24"/>
  <c r="E65" i="24"/>
  <c r="E55" i="24"/>
  <c r="E69" i="24"/>
  <c r="E71" i="24"/>
  <c r="E61" i="24"/>
  <c r="E67" i="24"/>
  <c r="E66" i="24"/>
  <c r="E64" i="24"/>
  <c r="E70" i="24"/>
  <c r="E72" i="24"/>
  <c r="E68" i="24"/>
  <c r="E63" i="24"/>
  <c r="D54" i="24"/>
  <c r="D57" i="24"/>
  <c r="D58" i="24"/>
  <c r="D59" i="24"/>
  <c r="D62" i="24"/>
  <c r="D60" i="24"/>
  <c r="D56" i="24"/>
  <c r="D65" i="24"/>
  <c r="D55" i="24"/>
  <c r="D69" i="24"/>
  <c r="D71" i="24"/>
  <c r="D61" i="24"/>
  <c r="D67" i="24"/>
  <c r="D66" i="24"/>
  <c r="D64" i="24"/>
  <c r="D70" i="24"/>
  <c r="D72" i="24"/>
  <c r="D68" i="24"/>
  <c r="D63" i="24"/>
  <c r="C54" i="24"/>
  <c r="C57" i="24"/>
  <c r="C58" i="24"/>
  <c r="C59" i="24"/>
  <c r="C62" i="24"/>
  <c r="C60" i="24"/>
  <c r="C56" i="24"/>
  <c r="C65" i="24"/>
  <c r="C55" i="24"/>
  <c r="C69" i="24"/>
  <c r="C71" i="24"/>
  <c r="C61" i="24"/>
  <c r="C67" i="24"/>
  <c r="C66" i="24"/>
  <c r="C64" i="24"/>
  <c r="C70" i="24"/>
  <c r="C72" i="24"/>
  <c r="C68" i="24"/>
  <c r="C63" i="24"/>
  <c r="P54" i="24"/>
  <c r="P57" i="24"/>
  <c r="P58" i="24"/>
  <c r="P59" i="24"/>
  <c r="P62" i="24"/>
  <c r="P60" i="24"/>
  <c r="P56" i="24"/>
  <c r="P65" i="24"/>
  <c r="P55" i="24"/>
  <c r="P69" i="24"/>
  <c r="P71" i="24"/>
  <c r="P61" i="24"/>
  <c r="P67" i="24"/>
  <c r="P66" i="24"/>
  <c r="P64" i="24"/>
  <c r="P70" i="24"/>
  <c r="P72" i="24"/>
  <c r="P68" i="24"/>
  <c r="P63" i="24"/>
  <c r="Q54" i="24"/>
  <c r="Q57" i="24"/>
  <c r="Q58" i="24"/>
  <c r="Q59" i="24"/>
  <c r="Q62" i="24"/>
  <c r="Q60" i="24"/>
  <c r="Q56" i="24"/>
  <c r="Q65" i="24"/>
  <c r="Q55" i="24"/>
  <c r="Q69" i="24"/>
  <c r="Q71" i="24"/>
  <c r="Q61" i="24"/>
  <c r="Q67" i="24"/>
  <c r="Q66" i="24"/>
  <c r="Q64" i="24"/>
  <c r="Q70" i="24"/>
  <c r="Q72" i="24"/>
  <c r="Q68" i="24"/>
  <c r="Q63" i="24"/>
  <c r="O54" i="24"/>
  <c r="O57" i="24"/>
  <c r="O58" i="24"/>
  <c r="O59" i="24"/>
  <c r="O62" i="24"/>
  <c r="O60" i="24"/>
  <c r="O56" i="24"/>
  <c r="O65" i="24"/>
  <c r="O55" i="24"/>
  <c r="O69" i="24"/>
  <c r="O71" i="24"/>
  <c r="O61" i="24"/>
  <c r="O67" i="24"/>
  <c r="O66" i="24"/>
  <c r="O64" i="24"/>
  <c r="O70" i="24"/>
  <c r="O72" i="24"/>
  <c r="O68" i="24"/>
  <c r="O63" i="24"/>
  <c r="N54" i="24"/>
  <c r="N57" i="24"/>
  <c r="N58" i="24"/>
  <c r="N59" i="24"/>
  <c r="N62" i="24"/>
  <c r="N60" i="24"/>
  <c r="N56" i="24"/>
  <c r="N65" i="24"/>
  <c r="N55" i="24"/>
  <c r="N69" i="24"/>
  <c r="N71" i="24"/>
  <c r="N61" i="24"/>
  <c r="N67" i="24"/>
  <c r="N66" i="24"/>
  <c r="N64" i="24"/>
  <c r="N70" i="24"/>
  <c r="N72" i="24"/>
  <c r="N68" i="24"/>
  <c r="N63" i="24"/>
  <c r="M54" i="24"/>
  <c r="M57" i="24"/>
  <c r="M58" i="24"/>
  <c r="M59" i="24"/>
  <c r="M62" i="24"/>
  <c r="M60" i="24"/>
  <c r="M56" i="24"/>
  <c r="M65" i="24"/>
  <c r="M55" i="24"/>
  <c r="M69" i="24"/>
  <c r="M71" i="24"/>
  <c r="M61" i="24"/>
  <c r="M67" i="24"/>
  <c r="M66" i="24"/>
  <c r="M64" i="24"/>
  <c r="M70" i="24"/>
  <c r="M72" i="24"/>
  <c r="M68" i="24"/>
  <c r="M63" i="24"/>
  <c r="L54" i="24"/>
  <c r="L57" i="24"/>
  <c r="L58" i="24"/>
  <c r="L59" i="24"/>
  <c r="L62" i="24"/>
  <c r="L60" i="24"/>
  <c r="L56" i="24"/>
  <c r="L65" i="24"/>
  <c r="L55" i="24"/>
  <c r="L69" i="24"/>
  <c r="L71" i="24"/>
  <c r="L61" i="24"/>
  <c r="L67" i="24"/>
  <c r="L66" i="24"/>
  <c r="L64" i="24"/>
  <c r="L70" i="24"/>
  <c r="L72" i="24"/>
  <c r="L68" i="24"/>
  <c r="L63" i="24"/>
  <c r="K54" i="24"/>
  <c r="K57" i="24"/>
  <c r="K58" i="24"/>
  <c r="K59" i="24"/>
  <c r="K62" i="24"/>
  <c r="K60" i="24"/>
  <c r="K56" i="24"/>
  <c r="K65" i="24"/>
  <c r="K55" i="24"/>
  <c r="K69" i="24"/>
  <c r="K71" i="24"/>
  <c r="K61" i="24"/>
  <c r="K67" i="24"/>
  <c r="K66" i="24"/>
  <c r="K64" i="24"/>
  <c r="K70" i="24"/>
  <c r="K72" i="24"/>
  <c r="K68" i="24"/>
  <c r="K63" i="24"/>
  <c r="J54" i="24"/>
  <c r="J57" i="24"/>
  <c r="J58" i="24"/>
  <c r="J59" i="24"/>
  <c r="J62" i="24"/>
  <c r="J60" i="24"/>
  <c r="J56" i="24"/>
  <c r="J65" i="24"/>
  <c r="J55" i="24"/>
  <c r="J69" i="24"/>
  <c r="J71" i="24"/>
  <c r="J61" i="24"/>
  <c r="J67" i="24"/>
  <c r="J66" i="24"/>
  <c r="J64" i="24"/>
  <c r="J70" i="24"/>
  <c r="J72" i="24"/>
  <c r="J68" i="24"/>
  <c r="J63" i="24"/>
  <c r="C6" i="24"/>
  <c r="C7" i="24"/>
  <c r="C8" i="24"/>
  <c r="C9" i="24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51" i="24"/>
  <c r="C3" i="24"/>
  <c r="G77" i="24"/>
  <c r="C77" i="24"/>
  <c r="Q51" i="24"/>
  <c r="Q77" i="24" s="1"/>
  <c r="P51" i="24"/>
  <c r="P77" i="24" s="1"/>
  <c r="O51" i="24"/>
  <c r="O77" i="24" s="1"/>
  <c r="N51" i="24"/>
  <c r="N77" i="24" s="1"/>
  <c r="M51" i="24"/>
  <c r="M77" i="24" s="1"/>
  <c r="L51" i="24"/>
  <c r="L77" i="24" s="1"/>
  <c r="K51" i="24"/>
  <c r="K77" i="24" s="1"/>
  <c r="J51" i="24"/>
  <c r="J77" i="24" s="1"/>
  <c r="I51" i="24"/>
  <c r="I77" i="24" s="1"/>
  <c r="H51" i="24"/>
  <c r="H77" i="24" s="1"/>
  <c r="G51" i="24"/>
  <c r="F51" i="24"/>
  <c r="F77" i="24" s="1"/>
  <c r="E51" i="24"/>
  <c r="E77" i="24" s="1"/>
  <c r="D51" i="24"/>
  <c r="D77" i="24" s="1"/>
  <c r="Q3" i="24"/>
  <c r="P3" i="24"/>
  <c r="O3" i="24"/>
  <c r="N3" i="24"/>
  <c r="M3" i="24"/>
  <c r="L3" i="24"/>
  <c r="K3" i="24"/>
  <c r="J3" i="24"/>
  <c r="I3" i="24"/>
  <c r="H3" i="24"/>
  <c r="G3" i="24"/>
  <c r="F3" i="24"/>
  <c r="E3" i="24"/>
  <c r="D3" i="24"/>
  <c r="S13" i="12"/>
  <c r="S14" i="12"/>
  <c r="S15" i="12"/>
  <c r="V15" i="12" s="1"/>
  <c r="S16" i="12"/>
  <c r="U16" i="12" s="1"/>
  <c r="S17" i="12"/>
  <c r="U17" i="12" s="1"/>
  <c r="S18" i="12"/>
  <c r="V18" i="12" s="1"/>
  <c r="S19" i="12"/>
  <c r="V19" i="12" s="1"/>
  <c r="T13" i="12"/>
  <c r="T14" i="12"/>
  <c r="T15" i="12"/>
  <c r="T16" i="12"/>
  <c r="T17" i="12"/>
  <c r="T18" i="12"/>
  <c r="T19" i="12"/>
  <c r="U13" i="12"/>
  <c r="U14" i="12"/>
  <c r="U18" i="12"/>
  <c r="U19" i="12"/>
  <c r="V13" i="12"/>
  <c r="V14" i="12"/>
  <c r="G32" i="12"/>
  <c r="J32" i="12" s="1"/>
  <c r="C32" i="12" s="1"/>
  <c r="H32" i="12"/>
  <c r="I32" i="12"/>
  <c r="G23" i="12"/>
  <c r="J23" i="12" s="1"/>
  <c r="G24" i="12"/>
  <c r="J24" i="12" s="1"/>
  <c r="G25" i="12"/>
  <c r="G26" i="12"/>
  <c r="I26" i="12" s="1"/>
  <c r="G27" i="12"/>
  <c r="I27" i="12" s="1"/>
  <c r="G28" i="12"/>
  <c r="I28" i="12" s="1"/>
  <c r="G29" i="12"/>
  <c r="J29" i="12" s="1"/>
  <c r="G30" i="12"/>
  <c r="J30" i="12" s="1"/>
  <c r="I31" i="12"/>
  <c r="H23" i="12"/>
  <c r="H24" i="12"/>
  <c r="H25" i="12"/>
  <c r="H26" i="12"/>
  <c r="H27" i="12"/>
  <c r="H28" i="12"/>
  <c r="H29" i="12"/>
  <c r="H30" i="12"/>
  <c r="H31" i="12"/>
  <c r="I25" i="12"/>
  <c r="I29" i="12"/>
  <c r="I30" i="12"/>
  <c r="J25" i="12"/>
  <c r="V15" i="13" l="1"/>
  <c r="I23" i="13"/>
  <c r="I24" i="13"/>
  <c r="V16" i="13"/>
  <c r="U17" i="13"/>
  <c r="U14" i="13"/>
  <c r="R88" i="24"/>
  <c r="V17" i="12"/>
  <c r="U15" i="12"/>
  <c r="V16" i="12"/>
  <c r="J26" i="12"/>
  <c r="J31" i="12"/>
  <c r="J28" i="12"/>
  <c r="J27" i="12"/>
  <c r="I24" i="12"/>
  <c r="I23" i="12"/>
  <c r="T4" i="23" l="1"/>
  <c r="T5" i="23"/>
  <c r="T6" i="23"/>
  <c r="T7" i="23"/>
  <c r="T8" i="23"/>
  <c r="T9" i="23"/>
  <c r="T10" i="23"/>
  <c r="T11" i="23"/>
  <c r="T12" i="23"/>
  <c r="H4" i="23"/>
  <c r="H5" i="23"/>
  <c r="H6" i="23"/>
  <c r="H7" i="23"/>
  <c r="H8" i="23"/>
  <c r="H9" i="23"/>
  <c r="H10" i="23"/>
  <c r="H11" i="23"/>
  <c r="H12" i="23"/>
  <c r="L4" i="23" s="1"/>
  <c r="H13" i="23"/>
  <c r="H14" i="23"/>
  <c r="H15" i="23"/>
  <c r="H16" i="23"/>
  <c r="H17" i="23"/>
  <c r="H18" i="23"/>
  <c r="H19" i="23"/>
  <c r="H20" i="23"/>
  <c r="T4" i="22"/>
  <c r="X4" i="22" s="1"/>
  <c r="T5" i="22"/>
  <c r="T6" i="22"/>
  <c r="T7" i="22"/>
  <c r="T8" i="22"/>
  <c r="T9" i="22"/>
  <c r="H4" i="22"/>
  <c r="L4" i="22" s="1"/>
  <c r="H5" i="22"/>
  <c r="H6" i="22"/>
  <c r="H7" i="22"/>
  <c r="H8" i="22"/>
  <c r="H9" i="22"/>
  <c r="H10" i="22"/>
  <c r="T4" i="21"/>
  <c r="T5" i="21"/>
  <c r="T6" i="21"/>
  <c r="T7" i="21"/>
  <c r="T8" i="21"/>
  <c r="T9" i="21"/>
  <c r="T10" i="21"/>
  <c r="T11" i="21"/>
  <c r="X4" i="21"/>
  <c r="H4" i="21"/>
  <c r="H5" i="21"/>
  <c r="H6" i="21"/>
  <c r="T4" i="20"/>
  <c r="X4" i="20" s="1"/>
  <c r="T5" i="20"/>
  <c r="T6" i="20"/>
  <c r="T7" i="20"/>
  <c r="T8" i="20"/>
  <c r="T9" i="20"/>
  <c r="T10" i="20"/>
  <c r="T11" i="20"/>
  <c r="T12" i="20"/>
  <c r="H4" i="20"/>
  <c r="H5" i="20"/>
  <c r="H6" i="20"/>
  <c r="H7" i="20"/>
  <c r="H8" i="20"/>
  <c r="H9" i="20"/>
  <c r="H10" i="20"/>
  <c r="H11" i="20"/>
  <c r="H12" i="20"/>
  <c r="H13" i="20"/>
  <c r="L4" i="20" s="1"/>
  <c r="H14" i="20"/>
  <c r="H15" i="20"/>
  <c r="H16" i="20"/>
  <c r="H17" i="20"/>
  <c r="H18" i="20"/>
  <c r="H19" i="20"/>
  <c r="H20" i="20"/>
  <c r="H21" i="20"/>
  <c r="H22" i="20"/>
  <c r="T4" i="19"/>
  <c r="T5" i="19"/>
  <c r="T6" i="19"/>
  <c r="T7" i="19"/>
  <c r="T8" i="19"/>
  <c r="T9" i="19"/>
  <c r="X4" i="19" s="1"/>
  <c r="T10" i="19"/>
  <c r="T11" i="19"/>
  <c r="T12" i="19"/>
  <c r="H4" i="19"/>
  <c r="H5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T4" i="18"/>
  <c r="T5" i="18"/>
  <c r="T6" i="18"/>
  <c r="T7" i="18"/>
  <c r="T8" i="18"/>
  <c r="T9" i="18"/>
  <c r="T10" i="18"/>
  <c r="T11" i="18"/>
  <c r="T12" i="18"/>
  <c r="H4" i="18"/>
  <c r="H5" i="18"/>
  <c r="H6" i="18"/>
  <c r="H7" i="18"/>
  <c r="H8" i="18"/>
  <c r="H9" i="18"/>
  <c r="H10" i="18"/>
  <c r="H11" i="18"/>
  <c r="H12" i="18"/>
  <c r="H13" i="18"/>
  <c r="H14" i="18"/>
  <c r="L4" i="18" s="1"/>
  <c r="H15" i="18"/>
  <c r="H16" i="18"/>
  <c r="H17" i="18"/>
  <c r="H18" i="18"/>
  <c r="H19" i="18"/>
  <c r="H20" i="18"/>
  <c r="H21" i="18"/>
  <c r="H22" i="18"/>
  <c r="T4" i="17"/>
  <c r="T5" i="17"/>
  <c r="T6" i="17"/>
  <c r="T7" i="17"/>
  <c r="T8" i="17"/>
  <c r="T9" i="17"/>
  <c r="T10" i="17"/>
  <c r="T11" i="17"/>
  <c r="T12" i="17"/>
  <c r="H4" i="17"/>
  <c r="H5" i="17"/>
  <c r="H6" i="17"/>
  <c r="H7" i="17"/>
  <c r="H8" i="17"/>
  <c r="H9" i="17"/>
  <c r="H10" i="17"/>
  <c r="H11" i="17"/>
  <c r="H12" i="17"/>
  <c r="H13" i="17"/>
  <c r="L4" i="17" s="1"/>
  <c r="H14" i="17"/>
  <c r="H15" i="17"/>
  <c r="H16" i="17"/>
  <c r="H17" i="17"/>
  <c r="H18" i="17"/>
  <c r="H19" i="17"/>
  <c r="H20" i="17"/>
  <c r="H21" i="17"/>
  <c r="H22" i="17"/>
  <c r="H23" i="17"/>
  <c r="H24" i="17"/>
  <c r="H25" i="17"/>
  <c r="T4" i="16"/>
  <c r="T5" i="16"/>
  <c r="T6" i="16"/>
  <c r="T7" i="16"/>
  <c r="T8" i="16"/>
  <c r="T9" i="16"/>
  <c r="T10" i="16"/>
  <c r="T11" i="16"/>
  <c r="T12" i="16"/>
  <c r="H4" i="16"/>
  <c r="H5" i="16"/>
  <c r="H6" i="16"/>
  <c r="H7" i="16"/>
  <c r="H8" i="16"/>
  <c r="H9" i="16"/>
  <c r="H10" i="16"/>
  <c r="H11" i="16"/>
  <c r="H12" i="16"/>
  <c r="H13" i="16"/>
  <c r="H14" i="16"/>
  <c r="L4" i="16" s="1"/>
  <c r="H15" i="16"/>
  <c r="H16" i="16"/>
  <c r="H17" i="16"/>
  <c r="H18" i="16"/>
  <c r="H19" i="16"/>
  <c r="H20" i="16"/>
  <c r="H21" i="16"/>
  <c r="H22" i="16"/>
  <c r="H23" i="16"/>
  <c r="T4" i="15"/>
  <c r="T5" i="15"/>
  <c r="T6" i="15"/>
  <c r="T7" i="15"/>
  <c r="T8" i="15"/>
  <c r="X4" i="15" s="1"/>
  <c r="T9" i="15"/>
  <c r="T10" i="15"/>
  <c r="T11" i="15"/>
  <c r="T12" i="15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T4" i="14"/>
  <c r="X4" i="14" s="1"/>
  <c r="T5" i="14"/>
  <c r="T6" i="14"/>
  <c r="T7" i="14"/>
  <c r="T8" i="14"/>
  <c r="T9" i="14"/>
  <c r="T10" i="14"/>
  <c r="T11" i="14"/>
  <c r="T12" i="14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T4" i="13"/>
  <c r="T5" i="13"/>
  <c r="T6" i="13"/>
  <c r="T7" i="13"/>
  <c r="T8" i="13"/>
  <c r="T9" i="13"/>
  <c r="T10" i="13"/>
  <c r="T11" i="13"/>
  <c r="T12" i="13"/>
  <c r="H4" i="13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T4" i="12"/>
  <c r="T5" i="12"/>
  <c r="T6" i="12"/>
  <c r="T7" i="12"/>
  <c r="T8" i="12"/>
  <c r="T9" i="12"/>
  <c r="T10" i="12"/>
  <c r="T11" i="12"/>
  <c r="T12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AE4" i="23"/>
  <c r="AE5" i="23"/>
  <c r="AE6" i="23"/>
  <c r="AE7" i="23"/>
  <c r="AE8" i="23"/>
  <c r="AE9" i="23"/>
  <c r="AE10" i="23"/>
  <c r="AE11" i="23"/>
  <c r="AE12" i="23"/>
  <c r="AE13" i="23"/>
  <c r="AE14" i="23"/>
  <c r="AE15" i="23"/>
  <c r="AE16" i="23"/>
  <c r="AE17" i="23"/>
  <c r="AE18" i="23"/>
  <c r="AE19" i="23"/>
  <c r="AE20" i="23"/>
  <c r="AE25" i="23"/>
  <c r="AE26" i="23"/>
  <c r="AE27" i="23"/>
  <c r="AE28" i="23"/>
  <c r="AE25" i="22"/>
  <c r="AE26" i="22"/>
  <c r="AE27" i="22"/>
  <c r="AE28" i="22"/>
  <c r="AE4" i="22"/>
  <c r="AE5" i="22"/>
  <c r="AE6" i="22"/>
  <c r="AE7" i="22"/>
  <c r="AE8" i="22"/>
  <c r="AE9" i="22"/>
  <c r="AE10" i="22"/>
  <c r="AE11" i="22"/>
  <c r="AE12" i="22"/>
  <c r="AE13" i="22"/>
  <c r="AE14" i="22"/>
  <c r="AE15" i="22"/>
  <c r="AE16" i="22"/>
  <c r="AE17" i="22"/>
  <c r="AE18" i="22"/>
  <c r="AE19" i="22"/>
  <c r="AE20" i="22"/>
  <c r="L4" i="21"/>
  <c r="AE25" i="21"/>
  <c r="AE26" i="21"/>
  <c r="AE27" i="21"/>
  <c r="AE28" i="21"/>
  <c r="AE4" i="21"/>
  <c r="AE5" i="21"/>
  <c r="AE6" i="21"/>
  <c r="AE7" i="21"/>
  <c r="AE8" i="21"/>
  <c r="AE9" i="21"/>
  <c r="AE10" i="21"/>
  <c r="AE11" i="21"/>
  <c r="AE12" i="21"/>
  <c r="AE13" i="21"/>
  <c r="AE14" i="21"/>
  <c r="AE15" i="21"/>
  <c r="AE16" i="21"/>
  <c r="AE17" i="21"/>
  <c r="AE18" i="21"/>
  <c r="AE19" i="21"/>
  <c r="AE20" i="21"/>
  <c r="AE27" i="20"/>
  <c r="AE28" i="20"/>
  <c r="AE29" i="20"/>
  <c r="AE30" i="20"/>
  <c r="AE31" i="20"/>
  <c r="AE32" i="20"/>
  <c r="AE33" i="20"/>
  <c r="AE34" i="20"/>
  <c r="AE35" i="20"/>
  <c r="AE36" i="20"/>
  <c r="AE4" i="20"/>
  <c r="AE5" i="20"/>
  <c r="AE6" i="20"/>
  <c r="AE7" i="20"/>
  <c r="AE8" i="20"/>
  <c r="AE9" i="20"/>
  <c r="AE10" i="20"/>
  <c r="AE11" i="20"/>
  <c r="AE12" i="20"/>
  <c r="AE13" i="20"/>
  <c r="AE14" i="20"/>
  <c r="AE15" i="20"/>
  <c r="AE16" i="20"/>
  <c r="AE17" i="20"/>
  <c r="AE18" i="20"/>
  <c r="AE19" i="20"/>
  <c r="AE20" i="20"/>
  <c r="AE21" i="20"/>
  <c r="AE22" i="20"/>
  <c r="AE27" i="19"/>
  <c r="AE28" i="19"/>
  <c r="AE29" i="19"/>
  <c r="AE30" i="19"/>
  <c r="AE31" i="19"/>
  <c r="AE32" i="19"/>
  <c r="AE33" i="19"/>
  <c r="AE34" i="19"/>
  <c r="AE35" i="19"/>
  <c r="AE36" i="19"/>
  <c r="AE4" i="19"/>
  <c r="AE5" i="19"/>
  <c r="AE6" i="19"/>
  <c r="AE7" i="19"/>
  <c r="AE8" i="19"/>
  <c r="AE9" i="19"/>
  <c r="AE10" i="19"/>
  <c r="AE11" i="19"/>
  <c r="AE12" i="19"/>
  <c r="AE13" i="19"/>
  <c r="AE14" i="19"/>
  <c r="AE15" i="19"/>
  <c r="AE16" i="19"/>
  <c r="AE17" i="19"/>
  <c r="AE18" i="19"/>
  <c r="AE19" i="19"/>
  <c r="AE20" i="19"/>
  <c r="AE21" i="19"/>
  <c r="AE22" i="19"/>
  <c r="L4" i="19"/>
  <c r="X4" i="18"/>
  <c r="X4" i="17"/>
  <c r="AE4" i="17"/>
  <c r="AE5" i="17"/>
  <c r="AE6" i="17"/>
  <c r="AE7" i="17"/>
  <c r="AE8" i="17"/>
  <c r="AE9" i="17"/>
  <c r="AE10" i="17"/>
  <c r="AE11" i="17"/>
  <c r="AE12" i="17"/>
  <c r="AE13" i="17"/>
  <c r="AE14" i="17"/>
  <c r="AE15" i="17"/>
  <c r="AE16" i="17"/>
  <c r="AE17" i="17"/>
  <c r="AE18" i="17"/>
  <c r="AE19" i="17"/>
  <c r="AE20" i="17"/>
  <c r="AE21" i="17"/>
  <c r="AE22" i="17"/>
  <c r="AE27" i="17"/>
  <c r="AE28" i="17"/>
  <c r="AE29" i="17"/>
  <c r="AE30" i="17"/>
  <c r="AE31" i="17"/>
  <c r="AE32" i="17"/>
  <c r="AE33" i="17"/>
  <c r="AE34" i="17"/>
  <c r="AE35" i="17"/>
  <c r="AE36" i="17"/>
  <c r="X4" i="16"/>
  <c r="AE27" i="16"/>
  <c r="AE28" i="16"/>
  <c r="AE29" i="16"/>
  <c r="AE30" i="16"/>
  <c r="AE31" i="16"/>
  <c r="AE32" i="16"/>
  <c r="AE33" i="16"/>
  <c r="AE34" i="16"/>
  <c r="AE35" i="16"/>
  <c r="AE36" i="16"/>
  <c r="AE4" i="16"/>
  <c r="AE5" i="16"/>
  <c r="AE6" i="16"/>
  <c r="AE7" i="16"/>
  <c r="AE8" i="16"/>
  <c r="AE9" i="16"/>
  <c r="AE10" i="16"/>
  <c r="AE11" i="16"/>
  <c r="AE12" i="16"/>
  <c r="AE13" i="16"/>
  <c r="AE14" i="16"/>
  <c r="AE15" i="16"/>
  <c r="AE16" i="16"/>
  <c r="AE17" i="16"/>
  <c r="AE18" i="16"/>
  <c r="AE19" i="16"/>
  <c r="AE20" i="16"/>
  <c r="AE21" i="16"/>
  <c r="AE22" i="16"/>
  <c r="AE35" i="15"/>
  <c r="AE36" i="15"/>
  <c r="AE20" i="15"/>
  <c r="AE18" i="15"/>
  <c r="AE21" i="15"/>
  <c r="AE19" i="15"/>
  <c r="AE22" i="15"/>
  <c r="AE34" i="14"/>
  <c r="AE35" i="14"/>
  <c r="AE36" i="14"/>
  <c r="AE20" i="14"/>
  <c r="AE19" i="14"/>
  <c r="AE21" i="14"/>
  <c r="AE22" i="14"/>
  <c r="AE22" i="13"/>
  <c r="AE19" i="13"/>
  <c r="AE20" i="13"/>
  <c r="AE21" i="13"/>
  <c r="AE36" i="13"/>
  <c r="AE18" i="12"/>
  <c r="AE17" i="12"/>
  <c r="AE15" i="12"/>
  <c r="AE21" i="12"/>
  <c r="AE16" i="12"/>
  <c r="AE20" i="12"/>
  <c r="AE22" i="12"/>
  <c r="AE19" i="12"/>
  <c r="AE34" i="12"/>
  <c r="AE35" i="12"/>
  <c r="AE36" i="12"/>
  <c r="AE33" i="12"/>
  <c r="AE32" i="12"/>
  <c r="X4" i="12"/>
  <c r="N2" i="23"/>
  <c r="X4" i="23"/>
  <c r="Z27" i="11"/>
  <c r="Z28" i="11"/>
  <c r="Z29" i="11"/>
  <c r="Z30" i="11"/>
  <c r="Z31" i="11"/>
  <c r="Z32" i="11"/>
  <c r="Z33" i="11"/>
  <c r="Z34" i="11"/>
  <c r="Z35" i="11"/>
  <c r="Z36" i="11"/>
  <c r="Z27" i="6"/>
  <c r="Z28" i="6"/>
  <c r="Z29" i="6"/>
  <c r="Z30" i="6"/>
  <c r="Z31" i="6"/>
  <c r="Z32" i="6"/>
  <c r="Z33" i="6"/>
  <c r="Z34" i="6"/>
  <c r="Z35" i="6"/>
  <c r="Z36" i="6"/>
  <c r="Z27" i="10"/>
  <c r="Z28" i="10"/>
  <c r="Z29" i="10"/>
  <c r="Z30" i="10"/>
  <c r="Z31" i="10"/>
  <c r="Z32" i="10"/>
  <c r="Z33" i="10"/>
  <c r="Z34" i="10"/>
  <c r="Z35" i="10"/>
  <c r="Z36" i="10"/>
  <c r="Z15" i="6"/>
  <c r="Z4" i="6"/>
  <c r="Z5" i="6"/>
  <c r="Z6" i="6"/>
  <c r="Z7" i="6"/>
  <c r="Z8" i="6"/>
  <c r="Z9" i="6"/>
  <c r="Z10" i="6"/>
  <c r="Z11" i="6"/>
  <c r="Z12" i="6"/>
  <c r="Z13" i="6"/>
  <c r="Z14" i="6"/>
  <c r="Z16" i="6"/>
  <c r="Z17" i="6"/>
  <c r="Z18" i="6"/>
  <c r="Z19" i="6"/>
  <c r="Z20" i="6"/>
  <c r="Z21" i="6"/>
  <c r="Z22" i="6"/>
  <c r="X4" i="11"/>
  <c r="U14" i="11"/>
  <c r="T4" i="11"/>
  <c r="T5" i="11"/>
  <c r="T6" i="11"/>
  <c r="T7" i="11"/>
  <c r="T8" i="11"/>
  <c r="T9" i="11"/>
  <c r="T10" i="11"/>
  <c r="T11" i="11"/>
  <c r="T12" i="11"/>
  <c r="T13" i="11"/>
  <c r="T14" i="11"/>
  <c r="T15" i="11"/>
  <c r="AK27" i="10"/>
  <c r="AK28" i="10"/>
  <c r="AK29" i="10"/>
  <c r="AK30" i="10"/>
  <c r="AK31" i="10"/>
  <c r="AK32" i="10"/>
  <c r="AK33" i="10"/>
  <c r="AK34" i="10"/>
  <c r="AK35" i="10"/>
  <c r="AK36" i="10"/>
  <c r="AK4" i="10"/>
  <c r="AK5" i="10"/>
  <c r="AK6" i="10"/>
  <c r="AK7" i="10"/>
  <c r="AK8" i="10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G4" i="12"/>
  <c r="G5" i="12"/>
  <c r="I5" i="12" s="1"/>
  <c r="G6" i="12"/>
  <c r="I6" i="12" s="1"/>
  <c r="G7" i="12"/>
  <c r="I7" i="12" s="1"/>
  <c r="G8" i="12"/>
  <c r="I8" i="12" s="1"/>
  <c r="G9" i="12"/>
  <c r="I9" i="12" s="1"/>
  <c r="G10" i="12"/>
  <c r="I10" i="12" s="1"/>
  <c r="G11" i="12"/>
  <c r="I11" i="12" s="1"/>
  <c r="G12" i="12"/>
  <c r="I12" i="12" s="1"/>
  <c r="G13" i="12"/>
  <c r="I13" i="12" s="1"/>
  <c r="G14" i="12"/>
  <c r="I14" i="12" s="1"/>
  <c r="G15" i="12"/>
  <c r="I15" i="12" s="1"/>
  <c r="G16" i="12"/>
  <c r="I16" i="12" s="1"/>
  <c r="G17" i="12"/>
  <c r="I17" i="12" s="1"/>
  <c r="G18" i="12"/>
  <c r="I18" i="12" s="1"/>
  <c r="G19" i="12"/>
  <c r="I19" i="12" s="1"/>
  <c r="G20" i="12"/>
  <c r="I20" i="12" s="1"/>
  <c r="G21" i="12"/>
  <c r="I21" i="12" s="1"/>
  <c r="G22" i="12"/>
  <c r="I22" i="12" s="1"/>
  <c r="G31" i="3"/>
  <c r="J32" i="3" s="1"/>
  <c r="G4" i="15"/>
  <c r="G5" i="15"/>
  <c r="I5" i="15" s="1"/>
  <c r="G6" i="15"/>
  <c r="I6" i="15" s="1"/>
  <c r="G7" i="15"/>
  <c r="I7" i="15" s="1"/>
  <c r="G8" i="15"/>
  <c r="I8" i="15" s="1"/>
  <c r="G9" i="15"/>
  <c r="I9" i="15" s="1"/>
  <c r="G10" i="15"/>
  <c r="I10" i="15" s="1"/>
  <c r="G11" i="15"/>
  <c r="I11" i="15" s="1"/>
  <c r="G12" i="15"/>
  <c r="I12" i="15" s="1"/>
  <c r="G13" i="15"/>
  <c r="I13" i="15" s="1"/>
  <c r="G14" i="15"/>
  <c r="I14" i="15" s="1"/>
  <c r="G15" i="15"/>
  <c r="I15" i="15" s="1"/>
  <c r="G16" i="15"/>
  <c r="I16" i="15" s="1"/>
  <c r="G17" i="15"/>
  <c r="I17" i="15" s="1"/>
  <c r="G18" i="15"/>
  <c r="I18" i="15" s="1"/>
  <c r="G19" i="15"/>
  <c r="I19" i="15" s="1"/>
  <c r="G20" i="15"/>
  <c r="I20" i="15" s="1"/>
  <c r="G21" i="15"/>
  <c r="I21" i="15" s="1"/>
  <c r="G22" i="15"/>
  <c r="I22" i="15" s="1"/>
  <c r="G4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AE4" i="6"/>
  <c r="AE5" i="6"/>
  <c r="AE6" i="6"/>
  <c r="AE7" i="6"/>
  <c r="AE8" i="6"/>
  <c r="AE9" i="6"/>
  <c r="AE10" i="6"/>
  <c r="AE11" i="6"/>
  <c r="AE12" i="6"/>
  <c r="AE13" i="6"/>
  <c r="AE14" i="6"/>
  <c r="AE15" i="6"/>
  <c r="AE16" i="6"/>
  <c r="AE17" i="6"/>
  <c r="AE18" i="6"/>
  <c r="AE19" i="6"/>
  <c r="AE20" i="6"/>
  <c r="AE21" i="6"/>
  <c r="AE22" i="6"/>
  <c r="AD4" i="6"/>
  <c r="AD5" i="6"/>
  <c r="AD6" i="6"/>
  <c r="AD7" i="6"/>
  <c r="AD8" i="6"/>
  <c r="AD9" i="6"/>
  <c r="AD10" i="6"/>
  <c r="AD11" i="6"/>
  <c r="AD12" i="6"/>
  <c r="AD13" i="6"/>
  <c r="AD14" i="6"/>
  <c r="AD15" i="6"/>
  <c r="AD16" i="6"/>
  <c r="AD17" i="6"/>
  <c r="AD18" i="6"/>
  <c r="AD19" i="6"/>
  <c r="AD20" i="6"/>
  <c r="AD21" i="6"/>
  <c r="AD22" i="6"/>
  <c r="L4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S14" i="6"/>
  <c r="U14" i="6" s="1"/>
  <c r="S14" i="10"/>
  <c r="U14" i="10" s="1"/>
  <c r="G27" i="10"/>
  <c r="T4" i="6"/>
  <c r="T5" i="6"/>
  <c r="T6" i="6"/>
  <c r="T7" i="6"/>
  <c r="T8" i="6"/>
  <c r="T9" i="6"/>
  <c r="T10" i="6"/>
  <c r="T11" i="6"/>
  <c r="T12" i="6"/>
  <c r="T13" i="6"/>
  <c r="X4" i="6" s="1"/>
  <c r="T14" i="6"/>
  <c r="S4" i="10"/>
  <c r="V4" i="10" s="1"/>
  <c r="AE27" i="10" s="1"/>
  <c r="T4" i="10"/>
  <c r="L4" i="15" l="1"/>
  <c r="L4" i="14"/>
  <c r="L4" i="13"/>
  <c r="X4" i="13"/>
  <c r="L4" i="12"/>
  <c r="I4" i="12"/>
  <c r="L5" i="12" s="1"/>
  <c r="I4" i="15"/>
  <c r="L5" i="15" s="1"/>
  <c r="L4" i="11"/>
  <c r="U4" i="10"/>
  <c r="C26" i="15" l="1"/>
  <c r="C30" i="12"/>
  <c r="C29" i="12"/>
  <c r="T5" i="10"/>
  <c r="T6" i="10"/>
  <c r="T7" i="10"/>
  <c r="T8" i="10"/>
  <c r="T9" i="10"/>
  <c r="T10" i="10"/>
  <c r="T11" i="10"/>
  <c r="T12" i="10"/>
  <c r="T13" i="10"/>
  <c r="T14" i="10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N2" i="18"/>
  <c r="Z25" i="18" s="1"/>
  <c r="B2" i="18"/>
  <c r="Z2" i="18" s="1"/>
  <c r="N2" i="20"/>
  <c r="Z25" i="20" s="1"/>
  <c r="N2" i="19"/>
  <c r="Z25" i="19" s="1"/>
  <c r="B2" i="19"/>
  <c r="Z2" i="19" s="1"/>
  <c r="B2" i="20"/>
  <c r="Z2" i="20" s="1"/>
  <c r="N2" i="21"/>
  <c r="Z23" i="21" s="1"/>
  <c r="B2" i="21"/>
  <c r="Z2" i="21" s="1"/>
  <c r="N2" i="22"/>
  <c r="Z23" i="22" s="1"/>
  <c r="B2" i="22"/>
  <c r="Z2" i="22" s="1"/>
  <c r="Z23" i="23"/>
  <c r="B2" i="23"/>
  <c r="Z2" i="23" s="1"/>
  <c r="N2" i="17"/>
  <c r="Z25" i="17" s="1"/>
  <c r="B2" i="17"/>
  <c r="Z2" i="17" s="1"/>
  <c r="N2" i="16"/>
  <c r="Z25" i="16" s="1"/>
  <c r="B2" i="16"/>
  <c r="Z2" i="16" s="1"/>
  <c r="N2" i="15"/>
  <c r="Z25" i="15" s="1"/>
  <c r="B2" i="15"/>
  <c r="Z2" i="15" s="1"/>
  <c r="N2" i="14"/>
  <c r="Z25" i="14" s="1"/>
  <c r="B2" i="14"/>
  <c r="Z2" i="14" s="1"/>
  <c r="N2" i="13"/>
  <c r="Z25" i="13" s="1"/>
  <c r="B2" i="13"/>
  <c r="Z2" i="13" s="1"/>
  <c r="N2" i="12"/>
  <c r="Z25" i="12" s="1"/>
  <c r="B2" i="12"/>
  <c r="Z2" i="12" s="1"/>
  <c r="Z28" i="20"/>
  <c r="Z29" i="20"/>
  <c r="Z30" i="20"/>
  <c r="Z31" i="20"/>
  <c r="Z32" i="20"/>
  <c r="Z33" i="20"/>
  <c r="Z34" i="20"/>
  <c r="Z35" i="20"/>
  <c r="Z36" i="20"/>
  <c r="S11" i="11"/>
  <c r="U11" i="11" s="1"/>
  <c r="S12" i="11"/>
  <c r="U12" i="11" s="1"/>
  <c r="S13" i="11"/>
  <c r="U13" i="11" s="1"/>
  <c r="V14" i="11"/>
  <c r="AE35" i="11" s="1"/>
  <c r="S15" i="11"/>
  <c r="U15" i="11" s="1"/>
  <c r="G24" i="11"/>
  <c r="G23" i="11"/>
  <c r="AH25" i="11"/>
  <c r="AH2" i="11"/>
  <c r="N2" i="11"/>
  <c r="Z25" i="11" s="1"/>
  <c r="B2" i="11"/>
  <c r="Z2" i="11" s="1"/>
  <c r="AH2" i="6"/>
  <c r="AH25" i="6"/>
  <c r="N2" i="6"/>
  <c r="Z25" i="6" s="1"/>
  <c r="B2" i="6"/>
  <c r="Z2" i="6" s="1"/>
  <c r="AH25" i="10"/>
  <c r="AH2" i="10"/>
  <c r="N2" i="10"/>
  <c r="Z25" i="10" s="1"/>
  <c r="B2" i="10"/>
  <c r="Z2" i="10" s="1"/>
  <c r="V14" i="6"/>
  <c r="G23" i="6"/>
  <c r="G24" i="6"/>
  <c r="G25" i="6"/>
  <c r="G26" i="6"/>
  <c r="G27" i="6"/>
  <c r="G28" i="6"/>
  <c r="G29" i="6"/>
  <c r="G30" i="6"/>
  <c r="X4" i="10" l="1"/>
  <c r="V15" i="11"/>
  <c r="V13" i="11"/>
  <c r="V12" i="11"/>
  <c r="V11" i="11"/>
  <c r="J23" i="11"/>
  <c r="I23" i="11"/>
  <c r="J24" i="11"/>
  <c r="C24" i="11" s="1"/>
  <c r="I24" i="11"/>
  <c r="AE22" i="11"/>
  <c r="J29" i="6"/>
  <c r="I29" i="6"/>
  <c r="J28" i="6"/>
  <c r="I28" i="6"/>
  <c r="J27" i="6"/>
  <c r="I27" i="6"/>
  <c r="J26" i="6"/>
  <c r="I26" i="6"/>
  <c r="J25" i="6"/>
  <c r="I25" i="6"/>
  <c r="J24" i="6"/>
  <c r="I24" i="6"/>
  <c r="J23" i="6"/>
  <c r="I23" i="6"/>
  <c r="J30" i="6"/>
  <c r="I30" i="6"/>
  <c r="L4" i="10"/>
  <c r="O32" i="24"/>
  <c r="O33" i="24"/>
  <c r="O34" i="24"/>
  <c r="O35" i="24"/>
  <c r="O36" i="24"/>
  <c r="O38" i="24"/>
  <c r="O39" i="24"/>
  <c r="O41" i="24"/>
  <c r="P32" i="24"/>
  <c r="P33" i="24"/>
  <c r="P34" i="24"/>
  <c r="P35" i="24"/>
  <c r="P36" i="24"/>
  <c r="P38" i="24"/>
  <c r="P39" i="24"/>
  <c r="P41" i="24"/>
  <c r="Q32" i="24"/>
  <c r="Q33" i="24"/>
  <c r="Q34" i="24"/>
  <c r="Q35" i="24"/>
  <c r="Q36" i="24"/>
  <c r="Q38" i="24"/>
  <c r="Q39" i="24"/>
  <c r="Q41" i="24"/>
  <c r="O7" i="24"/>
  <c r="O16" i="24"/>
  <c r="O18" i="24"/>
  <c r="O21" i="24"/>
  <c r="P7" i="24"/>
  <c r="P16" i="24"/>
  <c r="P18" i="24"/>
  <c r="P21" i="24"/>
  <c r="Q7" i="24"/>
  <c r="Q16" i="24"/>
  <c r="Q18" i="24"/>
  <c r="Q21" i="24"/>
  <c r="AB21" i="20"/>
  <c r="AB22" i="20"/>
  <c r="AC21" i="20"/>
  <c r="AC22" i="20"/>
  <c r="AD21" i="20"/>
  <c r="AD22" i="20"/>
  <c r="AB21" i="19"/>
  <c r="AB22" i="19"/>
  <c r="AC21" i="19"/>
  <c r="AC22" i="19"/>
  <c r="AB21" i="18"/>
  <c r="AB22" i="18"/>
  <c r="AC21" i="18"/>
  <c r="AC22" i="18"/>
  <c r="AB21" i="17"/>
  <c r="AB22" i="17"/>
  <c r="AC21" i="17"/>
  <c r="AC22" i="17"/>
  <c r="AB21" i="16"/>
  <c r="AB22" i="16"/>
  <c r="AC21" i="16"/>
  <c r="AC22" i="16"/>
  <c r="AB6" i="15"/>
  <c r="AB22" i="15"/>
  <c r="AC6" i="15"/>
  <c r="AC22" i="15"/>
  <c r="AB13" i="14"/>
  <c r="AB11" i="14"/>
  <c r="AC13" i="14"/>
  <c r="AC11" i="14"/>
  <c r="AB14" i="13"/>
  <c r="AB8" i="13"/>
  <c r="AC14" i="13"/>
  <c r="AC8" i="13"/>
  <c r="AB19" i="12"/>
  <c r="AB9" i="12"/>
  <c r="AC19" i="12"/>
  <c r="AC9" i="12"/>
  <c r="AD19" i="12"/>
  <c r="AD9" i="12"/>
  <c r="AB10" i="11"/>
  <c r="AB21" i="11"/>
  <c r="AC10" i="11"/>
  <c r="AC21" i="11"/>
  <c r="AD21" i="11"/>
  <c r="N29" i="24"/>
  <c r="Q29" i="24"/>
  <c r="P29" i="24"/>
  <c r="O29" i="24"/>
  <c r="M29" i="24"/>
  <c r="L29" i="24"/>
  <c r="K29" i="24"/>
  <c r="J29" i="24"/>
  <c r="I29" i="24"/>
  <c r="H29" i="24"/>
  <c r="G29" i="24"/>
  <c r="F29" i="24"/>
  <c r="E29" i="24"/>
  <c r="D29" i="24"/>
  <c r="C29" i="24"/>
  <c r="AB31" i="20"/>
  <c r="AB32" i="20"/>
  <c r="AB33" i="20"/>
  <c r="AB34" i="20"/>
  <c r="AB35" i="20"/>
  <c r="AB36" i="20"/>
  <c r="AC31" i="20"/>
  <c r="AC32" i="20"/>
  <c r="AC33" i="20"/>
  <c r="AC34" i="20"/>
  <c r="AC35" i="20"/>
  <c r="AC36" i="20"/>
  <c r="AD31" i="20"/>
  <c r="AD32" i="20"/>
  <c r="AD33" i="20"/>
  <c r="AF33" i="20" s="1"/>
  <c r="AD34" i="20"/>
  <c r="AF34" i="20" s="1"/>
  <c r="AD35" i="20"/>
  <c r="AD36" i="20"/>
  <c r="AF36" i="20" s="1"/>
  <c r="AF31" i="20"/>
  <c r="AB31" i="19"/>
  <c r="AB32" i="19"/>
  <c r="AB33" i="19"/>
  <c r="AB34" i="19"/>
  <c r="AB35" i="19"/>
  <c r="AB36" i="19"/>
  <c r="AC31" i="19"/>
  <c r="AC32" i="19"/>
  <c r="AC33" i="19"/>
  <c r="AC34" i="19"/>
  <c r="AC35" i="19"/>
  <c r="AC36" i="19"/>
  <c r="AD31" i="19"/>
  <c r="AD33" i="19"/>
  <c r="AD34" i="19"/>
  <c r="AD36" i="19"/>
  <c r="AB31" i="18"/>
  <c r="AB32" i="18"/>
  <c r="AB33" i="18"/>
  <c r="AB34" i="18"/>
  <c r="AB35" i="18"/>
  <c r="AB36" i="18"/>
  <c r="AC31" i="18"/>
  <c r="AC32" i="18"/>
  <c r="AC33" i="18"/>
  <c r="AC34" i="18"/>
  <c r="AC35" i="18"/>
  <c r="AC36" i="18"/>
  <c r="AD31" i="18"/>
  <c r="AD33" i="18"/>
  <c r="AD34" i="18"/>
  <c r="AD36" i="18"/>
  <c r="AE31" i="18"/>
  <c r="AE33" i="18"/>
  <c r="AE34" i="18"/>
  <c r="AE36" i="18"/>
  <c r="AB31" i="17"/>
  <c r="AB32" i="17"/>
  <c r="AB33" i="17"/>
  <c r="AB34" i="17"/>
  <c r="AB35" i="17"/>
  <c r="AB36" i="17"/>
  <c r="AC31" i="17"/>
  <c r="AC32" i="17"/>
  <c r="AC33" i="17"/>
  <c r="AC34" i="17"/>
  <c r="AC35" i="17"/>
  <c r="AC36" i="17"/>
  <c r="AD31" i="17"/>
  <c r="AD33" i="17"/>
  <c r="AD34" i="17"/>
  <c r="AD36" i="17"/>
  <c r="AB31" i="16"/>
  <c r="AB32" i="16"/>
  <c r="AB33" i="16"/>
  <c r="AB34" i="16"/>
  <c r="AB35" i="16"/>
  <c r="AB36" i="16"/>
  <c r="AC31" i="16"/>
  <c r="AC32" i="16"/>
  <c r="AC33" i="16"/>
  <c r="AC34" i="16"/>
  <c r="AC35" i="16"/>
  <c r="AC36" i="16"/>
  <c r="AD31" i="16"/>
  <c r="AD33" i="16"/>
  <c r="AD34" i="16"/>
  <c r="AD36" i="16"/>
  <c r="AB29" i="15"/>
  <c r="AB35" i="15"/>
  <c r="AB34" i="15"/>
  <c r="AB32" i="15"/>
  <c r="AB36" i="15"/>
  <c r="AB33" i="15"/>
  <c r="AC29" i="15"/>
  <c r="AC35" i="15"/>
  <c r="AC34" i="15"/>
  <c r="AC32" i="15"/>
  <c r="AC36" i="15"/>
  <c r="AC33" i="15"/>
  <c r="AB31" i="14"/>
  <c r="AB32" i="14"/>
  <c r="AB33" i="14"/>
  <c r="AB29" i="14"/>
  <c r="AB36" i="14"/>
  <c r="AB30" i="14"/>
  <c r="AC31" i="14"/>
  <c r="AC32" i="14"/>
  <c r="AC33" i="14"/>
  <c r="AC29" i="14"/>
  <c r="AC36" i="14"/>
  <c r="AC30" i="14"/>
  <c r="AB33" i="13"/>
  <c r="AB31" i="13"/>
  <c r="AB32" i="13"/>
  <c r="AB30" i="13"/>
  <c r="AB34" i="13"/>
  <c r="AB36" i="13"/>
  <c r="AC33" i="13"/>
  <c r="AC31" i="13"/>
  <c r="AC32" i="13"/>
  <c r="AC30" i="13"/>
  <c r="AC34" i="13"/>
  <c r="AC36" i="13"/>
  <c r="AD36" i="13"/>
  <c r="AB31" i="12"/>
  <c r="AB29" i="12"/>
  <c r="AB35" i="12"/>
  <c r="AB36" i="12"/>
  <c r="AB33" i="12"/>
  <c r="AB32" i="12"/>
  <c r="AC31" i="12"/>
  <c r="AC29" i="12"/>
  <c r="AC35" i="12"/>
  <c r="AC36" i="12"/>
  <c r="AC33" i="12"/>
  <c r="AC32" i="12"/>
  <c r="AD32" i="12"/>
  <c r="AB28" i="11"/>
  <c r="AB33" i="11"/>
  <c r="AB31" i="11"/>
  <c r="AB35" i="11"/>
  <c r="AB36" i="11"/>
  <c r="AB30" i="11"/>
  <c r="AC28" i="11"/>
  <c r="AC33" i="11"/>
  <c r="AC31" i="11"/>
  <c r="AC35" i="11"/>
  <c r="AC36" i="11"/>
  <c r="AC30" i="11"/>
  <c r="AD33" i="11"/>
  <c r="AD35" i="11"/>
  <c r="AD36" i="11"/>
  <c r="AB35" i="6"/>
  <c r="AB29" i="6"/>
  <c r="AC35" i="6"/>
  <c r="AC29" i="6"/>
  <c r="AB27" i="6"/>
  <c r="AB31" i="6"/>
  <c r="AB28" i="6"/>
  <c r="AB30" i="6"/>
  <c r="AB34" i="6"/>
  <c r="AB33" i="6"/>
  <c r="AB32" i="6"/>
  <c r="AB36" i="6"/>
  <c r="AC34" i="6"/>
  <c r="AC33" i="6"/>
  <c r="AC32" i="6"/>
  <c r="AC36" i="6"/>
  <c r="AB19" i="6"/>
  <c r="AC19" i="6"/>
  <c r="AB14" i="6"/>
  <c r="AC14" i="6"/>
  <c r="AC10" i="10"/>
  <c r="AC5" i="10"/>
  <c r="AC6" i="10"/>
  <c r="AC22" i="10"/>
  <c r="AC8" i="10"/>
  <c r="AC11" i="10"/>
  <c r="AC12" i="10"/>
  <c r="AC18" i="10"/>
  <c r="AC21" i="10"/>
  <c r="AB7" i="10"/>
  <c r="AC15" i="10"/>
  <c r="AB15" i="10"/>
  <c r="AC20" i="10"/>
  <c r="AB20" i="10"/>
  <c r="AC14" i="10"/>
  <c r="AC9" i="10"/>
  <c r="AC4" i="10"/>
  <c r="AC16" i="10"/>
  <c r="AC19" i="10"/>
  <c r="AC13" i="10"/>
  <c r="AB14" i="10"/>
  <c r="AB9" i="10"/>
  <c r="AB4" i="10"/>
  <c r="AB6" i="10"/>
  <c r="AB16" i="10"/>
  <c r="AB19" i="10"/>
  <c r="AB13" i="10"/>
  <c r="AB21" i="10"/>
  <c r="AF21" i="20" l="1"/>
  <c r="Z21" i="20"/>
  <c r="AF22" i="20"/>
  <c r="Z22" i="20"/>
  <c r="AF34" i="19"/>
  <c r="Z34" i="19"/>
  <c r="AF33" i="19"/>
  <c r="Z33" i="19"/>
  <c r="AF36" i="19"/>
  <c r="Z36" i="19"/>
  <c r="AF31" i="19"/>
  <c r="Z31" i="19"/>
  <c r="AF36" i="18"/>
  <c r="Z36" i="18"/>
  <c r="AF34" i="18"/>
  <c r="Z34" i="18"/>
  <c r="AF33" i="18"/>
  <c r="Z33" i="18"/>
  <c r="AF31" i="18"/>
  <c r="Z31" i="18"/>
  <c r="AF33" i="17"/>
  <c r="Z33" i="17"/>
  <c r="AF31" i="17"/>
  <c r="Z31" i="17"/>
  <c r="AF36" i="17"/>
  <c r="Z36" i="17"/>
  <c r="AF34" i="17"/>
  <c r="Z34" i="17"/>
  <c r="AF36" i="16"/>
  <c r="Z36" i="16"/>
  <c r="AF33" i="16"/>
  <c r="Z33" i="16"/>
  <c r="AF34" i="16"/>
  <c r="Z34" i="16"/>
  <c r="AF31" i="16"/>
  <c r="Z31" i="16"/>
  <c r="AE21" i="11"/>
  <c r="AE33" i="11"/>
  <c r="AE34" i="11"/>
  <c r="AE36" i="11"/>
  <c r="AF21" i="11"/>
  <c r="Z21" i="11"/>
  <c r="AC7" i="10"/>
  <c r="AB8" i="10"/>
  <c r="AB18" i="10"/>
  <c r="AB5" i="10"/>
  <c r="AB10" i="10"/>
  <c r="AB11" i="10"/>
  <c r="AB12" i="10"/>
  <c r="AB22" i="10"/>
  <c r="AB36" i="10" l="1"/>
  <c r="AC36" i="10"/>
  <c r="AB31" i="10"/>
  <c r="AC31" i="10"/>
  <c r="AB32" i="10"/>
  <c r="AC32" i="10"/>
  <c r="AB33" i="10"/>
  <c r="AC33" i="10"/>
  <c r="AB34" i="10"/>
  <c r="AC34" i="10"/>
  <c r="AB35" i="10"/>
  <c r="AC35" i="10"/>
  <c r="AB17" i="10"/>
  <c r="AC28" i="23"/>
  <c r="AB28" i="23"/>
  <c r="AC27" i="23"/>
  <c r="AB27" i="23"/>
  <c r="AC26" i="23"/>
  <c r="AB26" i="23"/>
  <c r="AC25" i="23"/>
  <c r="AB25" i="23"/>
  <c r="AD20" i="23"/>
  <c r="AC20" i="23"/>
  <c r="AB20" i="23"/>
  <c r="G20" i="23"/>
  <c r="AC19" i="23"/>
  <c r="AB19" i="23"/>
  <c r="G19" i="23"/>
  <c r="AC18" i="23"/>
  <c r="AB18" i="23"/>
  <c r="G18" i="23"/>
  <c r="AC17" i="23"/>
  <c r="AB17" i="23"/>
  <c r="G17" i="23"/>
  <c r="AC16" i="23"/>
  <c r="AB16" i="23"/>
  <c r="G16" i="23"/>
  <c r="AC15" i="23"/>
  <c r="AB15" i="23"/>
  <c r="G15" i="23"/>
  <c r="AC14" i="23"/>
  <c r="AB14" i="23"/>
  <c r="G14" i="23"/>
  <c r="AC13" i="23"/>
  <c r="AB13" i="23"/>
  <c r="G13" i="23"/>
  <c r="AC12" i="23"/>
  <c r="AB12" i="23"/>
  <c r="S12" i="23"/>
  <c r="G12" i="23"/>
  <c r="AC11" i="23"/>
  <c r="AB11" i="23"/>
  <c r="S11" i="23"/>
  <c r="G11" i="23"/>
  <c r="AC10" i="23"/>
  <c r="AB10" i="23"/>
  <c r="S10" i="23"/>
  <c r="G10" i="23"/>
  <c r="AC9" i="23"/>
  <c r="AB9" i="23"/>
  <c r="S9" i="23"/>
  <c r="G9" i="23"/>
  <c r="AC8" i="23"/>
  <c r="AB8" i="23"/>
  <c r="S8" i="23"/>
  <c r="G8" i="23"/>
  <c r="AC7" i="23"/>
  <c r="AB7" i="23"/>
  <c r="S7" i="23"/>
  <c r="G7" i="23"/>
  <c r="AC6" i="23"/>
  <c r="AB6" i="23"/>
  <c r="S6" i="23"/>
  <c r="G6" i="23"/>
  <c r="AC5" i="23"/>
  <c r="AB5" i="23"/>
  <c r="S5" i="23"/>
  <c r="G5" i="23"/>
  <c r="AC4" i="23"/>
  <c r="AB4" i="23"/>
  <c r="S4" i="23"/>
  <c r="G4" i="23"/>
  <c r="S9" i="22"/>
  <c r="G10" i="22"/>
  <c r="S8" i="22"/>
  <c r="G9" i="22"/>
  <c r="S7" i="22"/>
  <c r="G8" i="22"/>
  <c r="G7" i="22"/>
  <c r="G6" i="22"/>
  <c r="G5" i="22"/>
  <c r="AC28" i="22"/>
  <c r="AB28" i="22"/>
  <c r="AC27" i="22"/>
  <c r="AB27" i="22"/>
  <c r="AC26" i="22"/>
  <c r="AB26" i="22"/>
  <c r="AC25" i="22"/>
  <c r="AB25" i="22"/>
  <c r="AC20" i="22"/>
  <c r="AB20" i="22"/>
  <c r="AD19" i="22"/>
  <c r="Z19" i="22" s="1"/>
  <c r="AC19" i="22"/>
  <c r="AB19" i="22"/>
  <c r="AD18" i="22"/>
  <c r="Z18" i="22" s="1"/>
  <c r="AC18" i="22"/>
  <c r="AB18" i="22"/>
  <c r="AC17" i="22"/>
  <c r="AB17" i="22"/>
  <c r="AC16" i="22"/>
  <c r="AB16" i="22"/>
  <c r="AD15" i="22"/>
  <c r="Z15" i="22" s="1"/>
  <c r="AC15" i="22"/>
  <c r="AB15" i="22"/>
  <c r="AC14" i="22"/>
  <c r="AB14" i="22"/>
  <c r="AC13" i="22"/>
  <c r="AB13" i="22"/>
  <c r="AC12" i="22"/>
  <c r="AB12" i="22"/>
  <c r="AC11" i="22"/>
  <c r="AB11" i="22"/>
  <c r="AD11" i="22"/>
  <c r="Z11" i="22" s="1"/>
  <c r="AC10" i="22"/>
  <c r="AB10" i="22"/>
  <c r="AC9" i="22"/>
  <c r="AB9" i="22"/>
  <c r="AC8" i="22"/>
  <c r="AB8" i="22"/>
  <c r="AC7" i="22"/>
  <c r="AB7" i="22"/>
  <c r="AD7" i="22"/>
  <c r="Z7" i="22" s="1"/>
  <c r="AC6" i="22"/>
  <c r="AB6" i="22"/>
  <c r="S6" i="22"/>
  <c r="AC5" i="22"/>
  <c r="AB5" i="22"/>
  <c r="S5" i="22"/>
  <c r="AC4" i="22"/>
  <c r="AB4" i="22"/>
  <c r="S4" i="22"/>
  <c r="G4" i="22"/>
  <c r="I4" i="22" s="1"/>
  <c r="S11" i="21"/>
  <c r="G6" i="21"/>
  <c r="G5" i="21"/>
  <c r="S10" i="21"/>
  <c r="S9" i="21"/>
  <c r="S8" i="21"/>
  <c r="S7" i="21"/>
  <c r="S6" i="21"/>
  <c r="S5" i="21"/>
  <c r="AC28" i="21"/>
  <c r="AB28" i="21"/>
  <c r="AC27" i="21"/>
  <c r="AB27" i="21"/>
  <c r="AC26" i="21"/>
  <c r="AB26" i="21"/>
  <c r="AC25" i="21"/>
  <c r="AB25" i="21"/>
  <c r="AC20" i="21"/>
  <c r="AB20" i="21"/>
  <c r="AD19" i="21"/>
  <c r="Z19" i="21" s="1"/>
  <c r="AC19" i="21"/>
  <c r="AB19" i="21"/>
  <c r="AD18" i="21"/>
  <c r="Z18" i="21" s="1"/>
  <c r="AC18" i="21"/>
  <c r="AB18" i="21"/>
  <c r="AC17" i="21"/>
  <c r="AB17" i="21"/>
  <c r="AC16" i="21"/>
  <c r="AB16" i="21"/>
  <c r="AD15" i="21"/>
  <c r="Z15" i="21" s="1"/>
  <c r="AC15" i="21"/>
  <c r="AB15" i="21"/>
  <c r="AC14" i="21"/>
  <c r="AB14" i="21"/>
  <c r="AC13" i="21"/>
  <c r="AB13" i="21"/>
  <c r="AC12" i="21"/>
  <c r="AB12" i="21"/>
  <c r="AC11" i="21"/>
  <c r="AB11" i="21"/>
  <c r="AD11" i="21"/>
  <c r="Z11" i="21" s="1"/>
  <c r="AC10" i="21"/>
  <c r="AB10" i="21"/>
  <c r="AC9" i="21"/>
  <c r="AB9" i="21"/>
  <c r="AC8" i="21"/>
  <c r="AB8" i="21"/>
  <c r="AC7" i="21"/>
  <c r="AB7" i="21"/>
  <c r="AD7" i="21"/>
  <c r="Z7" i="21" s="1"/>
  <c r="AC6" i="21"/>
  <c r="AB6" i="21"/>
  <c r="AC5" i="21"/>
  <c r="AB5" i="21"/>
  <c r="AC4" i="21"/>
  <c r="AB4" i="21"/>
  <c r="S4" i="21"/>
  <c r="U4" i="21" s="1"/>
  <c r="G4" i="21"/>
  <c r="I4" i="21" s="1"/>
  <c r="AC30" i="20"/>
  <c r="AB30" i="20"/>
  <c r="AC29" i="20"/>
  <c r="AB29" i="20"/>
  <c r="AC28" i="20"/>
  <c r="AB28" i="20"/>
  <c r="AD27" i="20"/>
  <c r="Z27" i="20" s="1"/>
  <c r="AC27" i="20"/>
  <c r="AB27" i="20"/>
  <c r="G22" i="20"/>
  <c r="G21" i="20"/>
  <c r="AC20" i="20"/>
  <c r="AB20" i="20"/>
  <c r="G20" i="20"/>
  <c r="AD19" i="20"/>
  <c r="Z19" i="20" s="1"/>
  <c r="AC19" i="20"/>
  <c r="AB19" i="20"/>
  <c r="G19" i="20"/>
  <c r="AC18" i="20"/>
  <c r="AB18" i="20"/>
  <c r="G18" i="20"/>
  <c r="AD17" i="20"/>
  <c r="Z17" i="20" s="1"/>
  <c r="AC17" i="20"/>
  <c r="AB17" i="20"/>
  <c r="G17" i="20"/>
  <c r="AC16" i="20"/>
  <c r="AB16" i="20"/>
  <c r="G16" i="20"/>
  <c r="AD15" i="20"/>
  <c r="Z15" i="20" s="1"/>
  <c r="AC15" i="20"/>
  <c r="AB15" i="20"/>
  <c r="G15" i="20"/>
  <c r="AD14" i="20"/>
  <c r="Z14" i="20" s="1"/>
  <c r="AC14" i="20"/>
  <c r="AB14" i="20"/>
  <c r="G14" i="20"/>
  <c r="AD13" i="20"/>
  <c r="Z13" i="20" s="1"/>
  <c r="AC13" i="20"/>
  <c r="AB13" i="20"/>
  <c r="G13" i="20"/>
  <c r="AC12" i="20"/>
  <c r="AB12" i="20"/>
  <c r="S12" i="20"/>
  <c r="G12" i="20"/>
  <c r="AC11" i="20"/>
  <c r="AB11" i="20"/>
  <c r="S11" i="20"/>
  <c r="G11" i="20"/>
  <c r="AD10" i="20"/>
  <c r="Z10" i="20" s="1"/>
  <c r="AC10" i="20"/>
  <c r="AB10" i="20"/>
  <c r="S10" i="20"/>
  <c r="G10" i="20"/>
  <c r="AD9" i="20"/>
  <c r="Z9" i="20" s="1"/>
  <c r="AC9" i="20"/>
  <c r="AB9" i="20"/>
  <c r="S9" i="20"/>
  <c r="G9" i="20"/>
  <c r="AC8" i="20"/>
  <c r="AB8" i="20"/>
  <c r="S8" i="20"/>
  <c r="G8" i="20"/>
  <c r="AC7" i="20"/>
  <c r="AB7" i="20"/>
  <c r="S7" i="20"/>
  <c r="G7" i="20"/>
  <c r="AD6" i="20"/>
  <c r="Z6" i="20" s="1"/>
  <c r="AC6" i="20"/>
  <c r="AB6" i="20"/>
  <c r="S6" i="20"/>
  <c r="G6" i="20"/>
  <c r="AD5" i="20"/>
  <c r="Z5" i="20" s="1"/>
  <c r="AC5" i="20"/>
  <c r="AB5" i="20"/>
  <c r="S5" i="20"/>
  <c r="G5" i="20"/>
  <c r="AC4" i="20"/>
  <c r="AB4" i="20"/>
  <c r="S4" i="20"/>
  <c r="U4" i="20" s="1"/>
  <c r="G4" i="20"/>
  <c r="I4" i="20" s="1"/>
  <c r="AC30" i="19"/>
  <c r="AB30" i="19"/>
  <c r="AC29" i="19"/>
  <c r="AB29" i="19"/>
  <c r="AC28" i="19"/>
  <c r="AB28" i="19"/>
  <c r="AC27" i="19"/>
  <c r="AB27" i="19"/>
  <c r="G22" i="19"/>
  <c r="G21" i="19"/>
  <c r="AC20" i="19"/>
  <c r="AB20" i="19"/>
  <c r="G20" i="19"/>
  <c r="AC19" i="19"/>
  <c r="AB19" i="19"/>
  <c r="G19" i="19"/>
  <c r="AC18" i="19"/>
  <c r="AB18" i="19"/>
  <c r="G18" i="19"/>
  <c r="AC17" i="19"/>
  <c r="AB17" i="19"/>
  <c r="G17" i="19"/>
  <c r="AC16" i="19"/>
  <c r="AB16" i="19"/>
  <c r="G16" i="19"/>
  <c r="AC15" i="19"/>
  <c r="AB15" i="19"/>
  <c r="G15" i="19"/>
  <c r="AC14" i="19"/>
  <c r="AB14" i="19"/>
  <c r="G14" i="19"/>
  <c r="AC13" i="19"/>
  <c r="AB13" i="19"/>
  <c r="G13" i="19"/>
  <c r="AC12" i="19"/>
  <c r="AB12" i="19"/>
  <c r="S12" i="19"/>
  <c r="G12" i="19"/>
  <c r="AC11" i="19"/>
  <c r="AB11" i="19"/>
  <c r="S11" i="19"/>
  <c r="G11" i="19"/>
  <c r="AC10" i="19"/>
  <c r="AB10" i="19"/>
  <c r="S10" i="19"/>
  <c r="U10" i="19" s="1"/>
  <c r="G10" i="19"/>
  <c r="I10" i="19" s="1"/>
  <c r="AC9" i="19"/>
  <c r="AB9" i="19"/>
  <c r="S9" i="19"/>
  <c r="U9" i="19" s="1"/>
  <c r="G9" i="19"/>
  <c r="AC8" i="19"/>
  <c r="AB8" i="19"/>
  <c r="S8" i="19"/>
  <c r="G8" i="19"/>
  <c r="AC7" i="19"/>
  <c r="AB7" i="19"/>
  <c r="S7" i="19"/>
  <c r="G7" i="19"/>
  <c r="I7" i="19" s="1"/>
  <c r="AC6" i="19"/>
  <c r="AB6" i="19"/>
  <c r="S6" i="19"/>
  <c r="G6" i="19"/>
  <c r="AC5" i="19"/>
  <c r="AB5" i="19"/>
  <c r="S5" i="19"/>
  <c r="G5" i="19"/>
  <c r="I5" i="19" s="1"/>
  <c r="AC4" i="19"/>
  <c r="AB4" i="19"/>
  <c r="S4" i="19"/>
  <c r="U4" i="19" s="1"/>
  <c r="G4" i="19"/>
  <c r="I4" i="19" s="1"/>
  <c r="AC30" i="18"/>
  <c r="AB30" i="18"/>
  <c r="AC29" i="18"/>
  <c r="AB29" i="18"/>
  <c r="AC28" i="18"/>
  <c r="AB28" i="18"/>
  <c r="AD27" i="18"/>
  <c r="Z27" i="18" s="1"/>
  <c r="AC27" i="18"/>
  <c r="AB27" i="18"/>
  <c r="G22" i="18"/>
  <c r="G21" i="18"/>
  <c r="AC20" i="18"/>
  <c r="AB20" i="18"/>
  <c r="G20" i="18"/>
  <c r="AC19" i="18"/>
  <c r="AB19" i="18"/>
  <c r="G19" i="18"/>
  <c r="I19" i="18" s="1"/>
  <c r="AC18" i="18"/>
  <c r="AB18" i="18"/>
  <c r="G18" i="18"/>
  <c r="AC17" i="18"/>
  <c r="AB17" i="18"/>
  <c r="G17" i="18"/>
  <c r="AC16" i="18"/>
  <c r="AB16" i="18"/>
  <c r="G16" i="18"/>
  <c r="AC15" i="18"/>
  <c r="AB15" i="18"/>
  <c r="G15" i="18"/>
  <c r="AC14" i="18"/>
  <c r="AB14" i="18"/>
  <c r="G14" i="18"/>
  <c r="AC13" i="18"/>
  <c r="AB13" i="18"/>
  <c r="G13" i="18"/>
  <c r="AC12" i="18"/>
  <c r="AB12" i="18"/>
  <c r="S12" i="18"/>
  <c r="G12" i="18"/>
  <c r="AC11" i="18"/>
  <c r="AB11" i="18"/>
  <c r="S11" i="18"/>
  <c r="G11" i="18"/>
  <c r="AC10" i="18"/>
  <c r="AB10" i="18"/>
  <c r="S10" i="18"/>
  <c r="U10" i="18" s="1"/>
  <c r="G10" i="18"/>
  <c r="I10" i="18" s="1"/>
  <c r="AC9" i="18"/>
  <c r="AB9" i="18"/>
  <c r="S9" i="18"/>
  <c r="U9" i="18" s="1"/>
  <c r="G9" i="18"/>
  <c r="AC8" i="18"/>
  <c r="AB8" i="18"/>
  <c r="S8" i="18"/>
  <c r="G8" i="18"/>
  <c r="AC7" i="18"/>
  <c r="AB7" i="18"/>
  <c r="S7" i="18"/>
  <c r="G7" i="18"/>
  <c r="I7" i="18" s="1"/>
  <c r="AC6" i="18"/>
  <c r="AB6" i="18"/>
  <c r="S6" i="18"/>
  <c r="G6" i="18"/>
  <c r="AC5" i="18"/>
  <c r="AB5" i="18"/>
  <c r="S5" i="18"/>
  <c r="G5" i="18"/>
  <c r="I5" i="18" s="1"/>
  <c r="AC4" i="18"/>
  <c r="AB4" i="18"/>
  <c r="S4" i="18"/>
  <c r="U4" i="18" s="1"/>
  <c r="G4" i="18"/>
  <c r="I4" i="18" s="1"/>
  <c r="AC30" i="17"/>
  <c r="AB30" i="17"/>
  <c r="AC29" i="17"/>
  <c r="AB29" i="17"/>
  <c r="AC28" i="17"/>
  <c r="AB28" i="17"/>
  <c r="AD27" i="17"/>
  <c r="Z27" i="17" s="1"/>
  <c r="AC27" i="17"/>
  <c r="AB27" i="17"/>
  <c r="G25" i="17"/>
  <c r="G24" i="17"/>
  <c r="G23" i="17"/>
  <c r="G22" i="17"/>
  <c r="G21" i="17"/>
  <c r="AC20" i="17"/>
  <c r="AB20" i="17"/>
  <c r="G20" i="17"/>
  <c r="AC19" i="17"/>
  <c r="AB19" i="17"/>
  <c r="G19" i="17"/>
  <c r="I19" i="17" s="1"/>
  <c r="AC18" i="17"/>
  <c r="AB18" i="17"/>
  <c r="G18" i="17"/>
  <c r="AC17" i="17"/>
  <c r="AB17" i="17"/>
  <c r="G17" i="17"/>
  <c r="AC16" i="17"/>
  <c r="AB16" i="17"/>
  <c r="G16" i="17"/>
  <c r="I16" i="17" s="1"/>
  <c r="AC15" i="17"/>
  <c r="AB15" i="17"/>
  <c r="G15" i="17"/>
  <c r="AC14" i="17"/>
  <c r="AB14" i="17"/>
  <c r="G14" i="17"/>
  <c r="AC13" i="17"/>
  <c r="AB13" i="17"/>
  <c r="G13" i="17"/>
  <c r="AC12" i="17"/>
  <c r="AB12" i="17"/>
  <c r="S12" i="17"/>
  <c r="G12" i="17"/>
  <c r="AC11" i="17"/>
  <c r="AB11" i="17"/>
  <c r="S11" i="17"/>
  <c r="G11" i="17"/>
  <c r="I11" i="17" s="1"/>
  <c r="AC10" i="17"/>
  <c r="AB10" i="17"/>
  <c r="S10" i="17"/>
  <c r="U10" i="17" s="1"/>
  <c r="G10" i="17"/>
  <c r="I10" i="17" s="1"/>
  <c r="AC9" i="17"/>
  <c r="AB9" i="17"/>
  <c r="S9" i="17"/>
  <c r="U9" i="17" s="1"/>
  <c r="G9" i="17"/>
  <c r="AC8" i="17"/>
  <c r="AB8" i="17"/>
  <c r="S8" i="17"/>
  <c r="G8" i="17"/>
  <c r="AC7" i="17"/>
  <c r="AB7" i="17"/>
  <c r="S7" i="17"/>
  <c r="G7" i="17"/>
  <c r="AC6" i="17"/>
  <c r="AB6" i="17"/>
  <c r="S6" i="17"/>
  <c r="G6" i="17"/>
  <c r="AC5" i="17"/>
  <c r="AB5" i="17"/>
  <c r="S5" i="17"/>
  <c r="G5" i="17"/>
  <c r="I5" i="17" s="1"/>
  <c r="AC4" i="17"/>
  <c r="AB4" i="17"/>
  <c r="S4" i="17"/>
  <c r="U4" i="17" s="1"/>
  <c r="G4" i="17"/>
  <c r="I4" i="17" s="1"/>
  <c r="AD30" i="16"/>
  <c r="Z30" i="16" s="1"/>
  <c r="AC30" i="16"/>
  <c r="AB30" i="16"/>
  <c r="AC29" i="16"/>
  <c r="AB29" i="16"/>
  <c r="AC28" i="16"/>
  <c r="AB28" i="16"/>
  <c r="AC27" i="16"/>
  <c r="AB27" i="16"/>
  <c r="G23" i="16"/>
  <c r="G22" i="16"/>
  <c r="G21" i="16"/>
  <c r="AC20" i="16"/>
  <c r="AB20" i="16"/>
  <c r="G20" i="16"/>
  <c r="AC19" i="16"/>
  <c r="AB19" i="16"/>
  <c r="G19" i="16"/>
  <c r="I19" i="16" s="1"/>
  <c r="AC18" i="16"/>
  <c r="AB18" i="16"/>
  <c r="G18" i="16"/>
  <c r="AC17" i="16"/>
  <c r="AB17" i="16"/>
  <c r="G17" i="16"/>
  <c r="AC16" i="16"/>
  <c r="AB16" i="16"/>
  <c r="G16" i="16"/>
  <c r="AC15" i="16"/>
  <c r="AB15" i="16"/>
  <c r="G15" i="16"/>
  <c r="AC14" i="16"/>
  <c r="AB14" i="16"/>
  <c r="G14" i="16"/>
  <c r="AC13" i="16"/>
  <c r="AB13" i="16"/>
  <c r="G13" i="16"/>
  <c r="AC12" i="16"/>
  <c r="AB12" i="16"/>
  <c r="S12" i="16"/>
  <c r="G12" i="16"/>
  <c r="AC11" i="16"/>
  <c r="AB11" i="16"/>
  <c r="S11" i="16"/>
  <c r="G11" i="16"/>
  <c r="AC10" i="16"/>
  <c r="AB10" i="16"/>
  <c r="S10" i="16"/>
  <c r="U10" i="16" s="1"/>
  <c r="G10" i="16"/>
  <c r="I10" i="16" s="1"/>
  <c r="AC9" i="16"/>
  <c r="AB9" i="16"/>
  <c r="S9" i="16"/>
  <c r="U9" i="16" s="1"/>
  <c r="G9" i="16"/>
  <c r="AC8" i="16"/>
  <c r="AB8" i="16"/>
  <c r="S8" i="16"/>
  <c r="G8" i="16"/>
  <c r="AC7" i="16"/>
  <c r="AB7" i="16"/>
  <c r="S7" i="16"/>
  <c r="G7" i="16"/>
  <c r="AC6" i="16"/>
  <c r="AB6" i="16"/>
  <c r="S6" i="16"/>
  <c r="G6" i="16"/>
  <c r="AC5" i="16"/>
  <c r="AB5" i="16"/>
  <c r="S5" i="16"/>
  <c r="G5" i="16"/>
  <c r="I5" i="16" s="1"/>
  <c r="AC4" i="16"/>
  <c r="AB4" i="16"/>
  <c r="S4" i="16"/>
  <c r="U4" i="16" s="1"/>
  <c r="G4" i="16"/>
  <c r="I4" i="16" s="1"/>
  <c r="AC30" i="15"/>
  <c r="AB30" i="15"/>
  <c r="AC27" i="15"/>
  <c r="AB27" i="15"/>
  <c r="AC31" i="15"/>
  <c r="AB31" i="15"/>
  <c r="AC28" i="15"/>
  <c r="AB28" i="15"/>
  <c r="J22" i="15"/>
  <c r="J21" i="15"/>
  <c r="AC15" i="15"/>
  <c r="AB15" i="15"/>
  <c r="AD14" i="15"/>
  <c r="AC14" i="15"/>
  <c r="AB14" i="15"/>
  <c r="AC19" i="15"/>
  <c r="AB19" i="15"/>
  <c r="J18" i="15"/>
  <c r="AC12" i="15"/>
  <c r="AB12" i="15"/>
  <c r="J17" i="15"/>
  <c r="AC21" i="15"/>
  <c r="AB21" i="15"/>
  <c r="AC8" i="15"/>
  <c r="AB8" i="15"/>
  <c r="J15" i="15"/>
  <c r="AC18" i="15"/>
  <c r="AB18" i="15"/>
  <c r="J14" i="15"/>
  <c r="AD20" i="15"/>
  <c r="Z20" i="15" s="1"/>
  <c r="AC20" i="15"/>
  <c r="AB20" i="15"/>
  <c r="J13" i="15"/>
  <c r="AE13" i="15" s="1"/>
  <c r="AC9" i="15"/>
  <c r="AB9" i="15"/>
  <c r="S12" i="15"/>
  <c r="AD34" i="15" s="1"/>
  <c r="J12" i="15"/>
  <c r="AE12" i="15" s="1"/>
  <c r="AC7" i="15"/>
  <c r="AB7" i="15"/>
  <c r="S11" i="15"/>
  <c r="AD33" i="15" s="1"/>
  <c r="AD7" i="15"/>
  <c r="AC11" i="15"/>
  <c r="AB11" i="15"/>
  <c r="S10" i="15"/>
  <c r="AC16" i="15"/>
  <c r="AB16" i="15"/>
  <c r="S9" i="15"/>
  <c r="U9" i="15" s="1"/>
  <c r="J9" i="15"/>
  <c r="AC17" i="15"/>
  <c r="AB17" i="15"/>
  <c r="S8" i="15"/>
  <c r="AD30" i="15" s="1"/>
  <c r="J8" i="15"/>
  <c r="AC13" i="15"/>
  <c r="AB13" i="15"/>
  <c r="S7" i="15"/>
  <c r="AD29" i="15" s="1"/>
  <c r="AD12" i="15"/>
  <c r="AC10" i="15"/>
  <c r="AB10" i="15"/>
  <c r="S6" i="15"/>
  <c r="J6" i="15"/>
  <c r="AC4" i="15"/>
  <c r="AB4" i="15"/>
  <c r="S5" i="15"/>
  <c r="AD28" i="15" s="1"/>
  <c r="AC5" i="15"/>
  <c r="AB5" i="15"/>
  <c r="S4" i="15"/>
  <c r="U4" i="15" s="1"/>
  <c r="J4" i="15"/>
  <c r="AD35" i="14"/>
  <c r="Z35" i="14" s="1"/>
  <c r="AC35" i="14"/>
  <c r="AB35" i="14"/>
  <c r="AC28" i="14"/>
  <c r="AB28" i="14"/>
  <c r="AC34" i="14"/>
  <c r="AB34" i="14"/>
  <c r="AC27" i="14"/>
  <c r="AB27" i="14"/>
  <c r="G22" i="14"/>
  <c r="G21" i="14"/>
  <c r="AC22" i="14"/>
  <c r="AB22" i="14"/>
  <c r="G20" i="14"/>
  <c r="AC21" i="14"/>
  <c r="AB21" i="14"/>
  <c r="G19" i="14"/>
  <c r="I19" i="14" s="1"/>
  <c r="AC15" i="14"/>
  <c r="AB15" i="14"/>
  <c r="G18" i="14"/>
  <c r="AC17" i="14"/>
  <c r="AB17" i="14"/>
  <c r="G17" i="14"/>
  <c r="AC19" i="14"/>
  <c r="AB19" i="14"/>
  <c r="G16" i="14"/>
  <c r="AC8" i="14"/>
  <c r="AB8" i="14"/>
  <c r="G15" i="14"/>
  <c r="AC18" i="14"/>
  <c r="AB18" i="14"/>
  <c r="G14" i="14"/>
  <c r="AC14" i="14"/>
  <c r="AB14" i="14"/>
  <c r="G13" i="14"/>
  <c r="AC10" i="14"/>
  <c r="AB10" i="14"/>
  <c r="S12" i="14"/>
  <c r="G12" i="14"/>
  <c r="AC6" i="14"/>
  <c r="AB6" i="14"/>
  <c r="S11" i="14"/>
  <c r="AD33" i="14" s="1"/>
  <c r="G11" i="14"/>
  <c r="AC12" i="14"/>
  <c r="AB12" i="14"/>
  <c r="S10" i="14"/>
  <c r="U10" i="14" s="1"/>
  <c r="G10" i="14"/>
  <c r="I10" i="14" s="1"/>
  <c r="AC20" i="14"/>
  <c r="AB20" i="14"/>
  <c r="S9" i="14"/>
  <c r="U9" i="14" s="1"/>
  <c r="G9" i="14"/>
  <c r="AC16" i="14"/>
  <c r="AB16" i="14"/>
  <c r="S8" i="14"/>
  <c r="AD31" i="14" s="1"/>
  <c r="G8" i="14"/>
  <c r="AC7" i="14"/>
  <c r="AB7" i="14"/>
  <c r="S7" i="14"/>
  <c r="AD30" i="14" s="1"/>
  <c r="G7" i="14"/>
  <c r="I7" i="14" s="1"/>
  <c r="AC5" i="14"/>
  <c r="AB5" i="14"/>
  <c r="S6" i="14"/>
  <c r="AD29" i="14" s="1"/>
  <c r="G6" i="14"/>
  <c r="AC4" i="14"/>
  <c r="AB4" i="14"/>
  <c r="S5" i="14"/>
  <c r="G5" i="14"/>
  <c r="I5" i="14" s="1"/>
  <c r="AC9" i="14"/>
  <c r="AB9" i="14"/>
  <c r="S4" i="14"/>
  <c r="U4" i="14" s="1"/>
  <c r="G4" i="14"/>
  <c r="I4" i="14" s="1"/>
  <c r="AC35" i="13"/>
  <c r="AB35" i="13"/>
  <c r="AC27" i="13"/>
  <c r="AB27" i="13"/>
  <c r="AC28" i="13"/>
  <c r="AB28" i="13"/>
  <c r="AC29" i="13"/>
  <c r="AB29" i="13"/>
  <c r="G22" i="13"/>
  <c r="G21" i="13"/>
  <c r="AC17" i="13"/>
  <c r="AB17" i="13"/>
  <c r="G20" i="13"/>
  <c r="AC21" i="13"/>
  <c r="AB21" i="13"/>
  <c r="G19" i="13"/>
  <c r="I19" i="13" s="1"/>
  <c r="AC13" i="13"/>
  <c r="AB13" i="13"/>
  <c r="G18" i="13"/>
  <c r="AC15" i="13"/>
  <c r="AB15" i="13"/>
  <c r="G17" i="13"/>
  <c r="AC20" i="13"/>
  <c r="AB20" i="13"/>
  <c r="G16" i="13"/>
  <c r="AC6" i="13"/>
  <c r="AB6" i="13"/>
  <c r="G15" i="13"/>
  <c r="AC19" i="13"/>
  <c r="AB19" i="13"/>
  <c r="G14" i="13"/>
  <c r="AC22" i="13"/>
  <c r="AB22" i="13"/>
  <c r="G13" i="13"/>
  <c r="AC5" i="13"/>
  <c r="AB5" i="13"/>
  <c r="S12" i="13"/>
  <c r="AD35" i="13" s="1"/>
  <c r="G12" i="13"/>
  <c r="AC11" i="13"/>
  <c r="AB11" i="13"/>
  <c r="S11" i="13"/>
  <c r="G11" i="13"/>
  <c r="AC9" i="13"/>
  <c r="AB9" i="13"/>
  <c r="S10" i="13"/>
  <c r="G10" i="13"/>
  <c r="I10" i="13" s="1"/>
  <c r="AC7" i="13"/>
  <c r="AB7" i="13"/>
  <c r="S9" i="13"/>
  <c r="G9" i="13"/>
  <c r="AC12" i="13"/>
  <c r="AB12" i="13"/>
  <c r="S8" i="13"/>
  <c r="G8" i="13"/>
  <c r="AC16" i="13"/>
  <c r="AB16" i="13"/>
  <c r="S7" i="13"/>
  <c r="AD30" i="13" s="1"/>
  <c r="G7" i="13"/>
  <c r="I7" i="13" s="1"/>
  <c r="AC18" i="13"/>
  <c r="AB18" i="13"/>
  <c r="S6" i="13"/>
  <c r="G6" i="13"/>
  <c r="AC4" i="13"/>
  <c r="AB4" i="13"/>
  <c r="S5" i="13"/>
  <c r="G5" i="13"/>
  <c r="I5" i="13" s="1"/>
  <c r="AC10" i="13"/>
  <c r="AB10" i="13"/>
  <c r="S4" i="13"/>
  <c r="U4" i="13" s="1"/>
  <c r="G4" i="13"/>
  <c r="I4" i="13" s="1"/>
  <c r="AC34" i="12"/>
  <c r="AB34" i="12"/>
  <c r="AC27" i="12"/>
  <c r="AB27" i="12"/>
  <c r="AC30" i="12"/>
  <c r="AB30" i="12"/>
  <c r="AC28" i="12"/>
  <c r="AB28" i="12"/>
  <c r="J22" i="12"/>
  <c r="J21" i="12"/>
  <c r="AC22" i="12"/>
  <c r="AB22" i="12"/>
  <c r="AD14" i="12"/>
  <c r="AC14" i="12"/>
  <c r="AB14" i="12"/>
  <c r="AD11" i="12"/>
  <c r="AC11" i="12"/>
  <c r="AB11" i="12"/>
  <c r="J18" i="12"/>
  <c r="AC12" i="12"/>
  <c r="AB12" i="12"/>
  <c r="J17" i="12"/>
  <c r="AC20" i="12"/>
  <c r="AB20" i="12"/>
  <c r="AD16" i="12"/>
  <c r="AC16" i="12"/>
  <c r="AB16" i="12"/>
  <c r="J15" i="12"/>
  <c r="AC21" i="12"/>
  <c r="AB21" i="12"/>
  <c r="J14" i="12"/>
  <c r="AC15" i="12"/>
  <c r="AB15" i="12"/>
  <c r="J13" i="12"/>
  <c r="AC8" i="12"/>
  <c r="AB8" i="12"/>
  <c r="S12" i="12"/>
  <c r="J12" i="12"/>
  <c r="AC17" i="12"/>
  <c r="AB17" i="12"/>
  <c r="S11" i="12"/>
  <c r="AD17" i="12"/>
  <c r="AC7" i="12"/>
  <c r="AB7" i="12"/>
  <c r="S10" i="12"/>
  <c r="J10" i="12"/>
  <c r="AE7" i="12" s="1"/>
  <c r="AC18" i="12"/>
  <c r="AB18" i="12"/>
  <c r="S9" i="12"/>
  <c r="U9" i="12" s="1"/>
  <c r="J9" i="12"/>
  <c r="AE6" i="12" s="1"/>
  <c r="AC13" i="12"/>
  <c r="AB13" i="12"/>
  <c r="S8" i="12"/>
  <c r="J8" i="12"/>
  <c r="AC5" i="12"/>
  <c r="AB5" i="12"/>
  <c r="S7" i="12"/>
  <c r="U7" i="12" s="1"/>
  <c r="AD5" i="12"/>
  <c r="AC6" i="12"/>
  <c r="AB6" i="12"/>
  <c r="S6" i="12"/>
  <c r="J6" i="12"/>
  <c r="AC10" i="12"/>
  <c r="AB10" i="12"/>
  <c r="S5" i="12"/>
  <c r="J5" i="12"/>
  <c r="AC4" i="12"/>
  <c r="AB4" i="12"/>
  <c r="S4" i="12"/>
  <c r="U4" i="12" s="1"/>
  <c r="J4" i="12"/>
  <c r="AC32" i="11"/>
  <c r="AB32" i="11"/>
  <c r="AC34" i="11"/>
  <c r="AB34" i="11"/>
  <c r="AC27" i="11"/>
  <c r="AB27" i="11"/>
  <c r="AC29" i="11"/>
  <c r="AB29" i="11"/>
  <c r="G22" i="11"/>
  <c r="G21" i="11"/>
  <c r="AD22" i="11"/>
  <c r="Z22" i="11" s="1"/>
  <c r="AC22" i="11"/>
  <c r="AB22" i="11"/>
  <c r="G20" i="11"/>
  <c r="I20" i="11" s="1"/>
  <c r="AC16" i="11"/>
  <c r="AB16" i="11"/>
  <c r="G19" i="11"/>
  <c r="AC11" i="11"/>
  <c r="AB11" i="11"/>
  <c r="G18" i="11"/>
  <c r="AC13" i="11"/>
  <c r="AB13" i="11"/>
  <c r="G17" i="11"/>
  <c r="AC9" i="11"/>
  <c r="AB9" i="11"/>
  <c r="G16" i="11"/>
  <c r="I16" i="11" s="1"/>
  <c r="AC18" i="11"/>
  <c r="AB18" i="11"/>
  <c r="G15" i="11"/>
  <c r="AC20" i="11"/>
  <c r="AB20" i="11"/>
  <c r="G14" i="11"/>
  <c r="AC15" i="11"/>
  <c r="AB15" i="11"/>
  <c r="G13" i="11"/>
  <c r="AC6" i="11"/>
  <c r="AB6" i="11"/>
  <c r="G12" i="11"/>
  <c r="AC12" i="11"/>
  <c r="AB12" i="11"/>
  <c r="G11" i="11"/>
  <c r="I11" i="11" s="1"/>
  <c r="AC5" i="11"/>
  <c r="AB5" i="11"/>
  <c r="S10" i="11"/>
  <c r="U10" i="11" s="1"/>
  <c r="G10" i="11"/>
  <c r="AC17" i="11"/>
  <c r="AB17" i="11"/>
  <c r="S9" i="11"/>
  <c r="U9" i="11" s="1"/>
  <c r="G9" i="11"/>
  <c r="AC14" i="11"/>
  <c r="AB14" i="11"/>
  <c r="S8" i="11"/>
  <c r="U8" i="11" s="1"/>
  <c r="G8" i="11"/>
  <c r="AC19" i="11"/>
  <c r="AB19" i="11"/>
  <c r="S7" i="11"/>
  <c r="U7" i="11" s="1"/>
  <c r="G7" i="11"/>
  <c r="I7" i="11" s="1"/>
  <c r="AC8" i="11"/>
  <c r="AB8" i="11"/>
  <c r="S6" i="11"/>
  <c r="U6" i="11" s="1"/>
  <c r="G6" i="11"/>
  <c r="AC7" i="11"/>
  <c r="AB7" i="11"/>
  <c r="S5" i="11"/>
  <c r="U5" i="11" s="1"/>
  <c r="G5" i="11"/>
  <c r="AC4" i="11"/>
  <c r="AB4" i="11"/>
  <c r="S4" i="11"/>
  <c r="U4" i="11" s="1"/>
  <c r="I4" i="11"/>
  <c r="AC30" i="10"/>
  <c r="AB30" i="10"/>
  <c r="AC29" i="10"/>
  <c r="AB29" i="10"/>
  <c r="I27" i="10"/>
  <c r="AC28" i="10"/>
  <c r="AB28" i="10"/>
  <c r="G26" i="10"/>
  <c r="I26" i="10" s="1"/>
  <c r="AC27" i="10"/>
  <c r="AB27" i="10"/>
  <c r="G25" i="10"/>
  <c r="I25" i="10" s="1"/>
  <c r="G24" i="10"/>
  <c r="I24" i="10" s="1"/>
  <c r="G23" i="10"/>
  <c r="I23" i="10" s="1"/>
  <c r="G22" i="10"/>
  <c r="G21" i="10"/>
  <c r="I21" i="10" s="1"/>
  <c r="G20" i="10"/>
  <c r="G19" i="10"/>
  <c r="G18" i="10"/>
  <c r="I18" i="10" s="1"/>
  <c r="G17" i="10"/>
  <c r="I17" i="10" s="1"/>
  <c r="G16" i="10"/>
  <c r="I16" i="10" s="1"/>
  <c r="G15" i="10"/>
  <c r="I15" i="10" s="1"/>
  <c r="G14" i="10"/>
  <c r="S13" i="10"/>
  <c r="U13" i="10" s="1"/>
  <c r="G13" i="10"/>
  <c r="S12" i="10"/>
  <c r="U12" i="10" s="1"/>
  <c r="G12" i="10"/>
  <c r="S11" i="10"/>
  <c r="U11" i="10" s="1"/>
  <c r="G11" i="10"/>
  <c r="S10" i="10"/>
  <c r="U10" i="10" s="1"/>
  <c r="G10" i="10"/>
  <c r="S9" i="10"/>
  <c r="U9" i="10" s="1"/>
  <c r="G9" i="10"/>
  <c r="S8" i="10"/>
  <c r="U8" i="10" s="1"/>
  <c r="G8" i="10"/>
  <c r="S7" i="10"/>
  <c r="U7" i="10" s="1"/>
  <c r="G7" i="10"/>
  <c r="S6" i="10"/>
  <c r="U6" i="10" s="1"/>
  <c r="G6" i="10"/>
  <c r="S5" i="10"/>
  <c r="U5" i="10" s="1"/>
  <c r="G5" i="10"/>
  <c r="AC17" i="10"/>
  <c r="G4" i="10"/>
  <c r="I24" i="3"/>
  <c r="AC27" i="6"/>
  <c r="AC31" i="6"/>
  <c r="AC28" i="6"/>
  <c r="AC30" i="6"/>
  <c r="S5" i="6"/>
  <c r="S10" i="6"/>
  <c r="U10" i="6" s="1"/>
  <c r="S6" i="6"/>
  <c r="S11" i="6"/>
  <c r="U11" i="6" s="1"/>
  <c r="S7" i="6"/>
  <c r="S12" i="6"/>
  <c r="U12" i="6" s="1"/>
  <c r="S8" i="6"/>
  <c r="U8" i="6" s="1"/>
  <c r="S13" i="6"/>
  <c r="U13" i="6" s="1"/>
  <c r="S9" i="6"/>
  <c r="U9" i="6" s="1"/>
  <c r="S4" i="6"/>
  <c r="U4" i="6" s="1"/>
  <c r="G22" i="6"/>
  <c r="G21" i="6"/>
  <c r="AB16" i="6"/>
  <c r="G20" i="6"/>
  <c r="G19" i="6"/>
  <c r="AB10" i="6"/>
  <c r="G18" i="6"/>
  <c r="AC4" i="6"/>
  <c r="G17" i="6"/>
  <c r="G16" i="6"/>
  <c r="G15" i="6"/>
  <c r="AB20" i="6"/>
  <c r="AC20" i="6"/>
  <c r="G14" i="6"/>
  <c r="AB6" i="6"/>
  <c r="G13" i="6"/>
  <c r="G12" i="6"/>
  <c r="I12" i="6" s="1"/>
  <c r="G11" i="6"/>
  <c r="G10" i="6"/>
  <c r="I10" i="6" s="1"/>
  <c r="G9" i="6"/>
  <c r="AB21" i="6"/>
  <c r="G8" i="6"/>
  <c r="AB12" i="6"/>
  <c r="G7" i="6"/>
  <c r="AB22" i="6"/>
  <c r="G6" i="6"/>
  <c r="G5" i="6"/>
  <c r="G4" i="6"/>
  <c r="I4" i="6" s="1"/>
  <c r="G24" i="3"/>
  <c r="AE14" i="15" l="1"/>
  <c r="AE15" i="15"/>
  <c r="AE6" i="15"/>
  <c r="AE8" i="15"/>
  <c r="AE4" i="15"/>
  <c r="AE9" i="15"/>
  <c r="AE16" i="15"/>
  <c r="U10" i="15"/>
  <c r="AD32" i="15"/>
  <c r="U9" i="13"/>
  <c r="AD32" i="13"/>
  <c r="U10" i="13"/>
  <c r="AD33" i="13"/>
  <c r="U12" i="12"/>
  <c r="AD31" i="12"/>
  <c r="AE4" i="12"/>
  <c r="AE8" i="12"/>
  <c r="AE11" i="12"/>
  <c r="AE13" i="12"/>
  <c r="AE14" i="12"/>
  <c r="AE9" i="12"/>
  <c r="AE5" i="12"/>
  <c r="V11" i="12"/>
  <c r="U11" i="12"/>
  <c r="V5" i="12"/>
  <c r="U5" i="12"/>
  <c r="V6" i="12"/>
  <c r="U6" i="12"/>
  <c r="V8" i="12"/>
  <c r="U8" i="12"/>
  <c r="AD34" i="12"/>
  <c r="Z34" i="12" s="1"/>
  <c r="U10" i="12"/>
  <c r="V4" i="12"/>
  <c r="AE27" i="12" s="1"/>
  <c r="V5" i="13"/>
  <c r="U5" i="13"/>
  <c r="V8" i="13"/>
  <c r="U8" i="13"/>
  <c r="V11" i="13"/>
  <c r="U11" i="13"/>
  <c r="V7" i="13"/>
  <c r="U7" i="13"/>
  <c r="V6" i="13"/>
  <c r="U6" i="13"/>
  <c r="V12" i="13"/>
  <c r="AE35" i="13" s="1"/>
  <c r="U12" i="13"/>
  <c r="V4" i="13"/>
  <c r="J22" i="13"/>
  <c r="I22" i="13"/>
  <c r="J13" i="13"/>
  <c r="I13" i="13"/>
  <c r="AD6" i="13"/>
  <c r="I16" i="13"/>
  <c r="J17" i="13"/>
  <c r="I17" i="13"/>
  <c r="J14" i="13"/>
  <c r="I14" i="13"/>
  <c r="AD21" i="13"/>
  <c r="Z21" i="13" s="1"/>
  <c r="I20" i="13"/>
  <c r="J8" i="13"/>
  <c r="I8" i="13"/>
  <c r="J9" i="13"/>
  <c r="I9" i="13"/>
  <c r="J12" i="13"/>
  <c r="I12" i="13"/>
  <c r="J18" i="13"/>
  <c r="I18" i="13"/>
  <c r="J21" i="13"/>
  <c r="I21" i="13"/>
  <c r="AD11" i="13"/>
  <c r="I11" i="13"/>
  <c r="J6" i="13"/>
  <c r="I6" i="13"/>
  <c r="J15" i="13"/>
  <c r="I15" i="13"/>
  <c r="J4" i="13"/>
  <c r="V7" i="14"/>
  <c r="U7" i="14"/>
  <c r="V5" i="14"/>
  <c r="U5" i="14"/>
  <c r="V8" i="14"/>
  <c r="U8" i="14"/>
  <c r="V11" i="14"/>
  <c r="U11" i="14"/>
  <c r="V12" i="14"/>
  <c r="U12" i="14"/>
  <c r="V6" i="14"/>
  <c r="U6" i="14"/>
  <c r="V4" i="14"/>
  <c r="J13" i="14"/>
  <c r="I13" i="14"/>
  <c r="J8" i="14"/>
  <c r="I8" i="14"/>
  <c r="AD6" i="14"/>
  <c r="I11" i="14"/>
  <c r="J14" i="14"/>
  <c r="I14" i="14"/>
  <c r="J17" i="14"/>
  <c r="I17" i="14"/>
  <c r="AD21" i="14"/>
  <c r="I20" i="14"/>
  <c r="AD8" i="14"/>
  <c r="I16" i="14"/>
  <c r="J6" i="14"/>
  <c r="I6" i="14"/>
  <c r="AD10" i="14"/>
  <c r="I12" i="14"/>
  <c r="J15" i="14"/>
  <c r="I15" i="14"/>
  <c r="J18" i="14"/>
  <c r="I18" i="14"/>
  <c r="J21" i="14"/>
  <c r="I21" i="14"/>
  <c r="J9" i="14"/>
  <c r="I9" i="14"/>
  <c r="J22" i="14"/>
  <c r="I22" i="14"/>
  <c r="AD9" i="14"/>
  <c r="V7" i="15"/>
  <c r="U7" i="15"/>
  <c r="V11" i="15"/>
  <c r="U11" i="15"/>
  <c r="V8" i="15"/>
  <c r="U8" i="15"/>
  <c r="V5" i="15"/>
  <c r="U5" i="15"/>
  <c r="V12" i="15"/>
  <c r="U12" i="15"/>
  <c r="V6" i="15"/>
  <c r="U6" i="15"/>
  <c r="V4" i="15"/>
  <c r="AE27" i="15" s="1"/>
  <c r="V11" i="16"/>
  <c r="O11" i="16" s="1"/>
  <c r="U11" i="16"/>
  <c r="V6" i="16"/>
  <c r="O6" i="16" s="1"/>
  <c r="U6" i="16"/>
  <c r="V12" i="16"/>
  <c r="O12" i="16" s="1"/>
  <c r="U12" i="16"/>
  <c r="V5" i="16"/>
  <c r="O5" i="16" s="1"/>
  <c r="U5" i="16"/>
  <c r="V8" i="16"/>
  <c r="O8" i="16" s="1"/>
  <c r="U8" i="16"/>
  <c r="V7" i="16"/>
  <c r="O7" i="16" s="1"/>
  <c r="U7" i="16"/>
  <c r="V4" i="16"/>
  <c r="O4" i="16" s="1"/>
  <c r="J14" i="16"/>
  <c r="C14" i="16" s="1"/>
  <c r="I14" i="16"/>
  <c r="J18" i="16"/>
  <c r="C18" i="16" s="1"/>
  <c r="I18" i="16"/>
  <c r="J8" i="16"/>
  <c r="C8" i="16" s="1"/>
  <c r="I8" i="16"/>
  <c r="J15" i="16"/>
  <c r="C15" i="16" s="1"/>
  <c r="I15" i="16"/>
  <c r="J6" i="16"/>
  <c r="C6" i="16" s="1"/>
  <c r="I6" i="16"/>
  <c r="J9" i="16"/>
  <c r="C9" i="16" s="1"/>
  <c r="I9" i="16"/>
  <c r="J12" i="16"/>
  <c r="C12" i="16" s="1"/>
  <c r="I12" i="16"/>
  <c r="AD15" i="16"/>
  <c r="Z15" i="16" s="1"/>
  <c r="I16" i="16"/>
  <c r="AD19" i="16"/>
  <c r="Z19" i="16" s="1"/>
  <c r="I20" i="16"/>
  <c r="J11" i="16"/>
  <c r="C11" i="16" s="1"/>
  <c r="I11" i="16"/>
  <c r="J7" i="16"/>
  <c r="C7" i="16" s="1"/>
  <c r="I7" i="16"/>
  <c r="J13" i="16"/>
  <c r="C13" i="16" s="1"/>
  <c r="I13" i="16"/>
  <c r="J17" i="16"/>
  <c r="C17" i="16" s="1"/>
  <c r="I17" i="16"/>
  <c r="J21" i="16"/>
  <c r="C21" i="16" s="1"/>
  <c r="I21" i="16"/>
  <c r="J22" i="16"/>
  <c r="C22" i="16" s="1"/>
  <c r="I22" i="16"/>
  <c r="J23" i="16"/>
  <c r="C23" i="16" s="1"/>
  <c r="I23" i="16"/>
  <c r="J4" i="16"/>
  <c r="C4" i="16" s="1"/>
  <c r="V5" i="17"/>
  <c r="O5" i="17" s="1"/>
  <c r="U5" i="17"/>
  <c r="V8" i="17"/>
  <c r="O8" i="17" s="1"/>
  <c r="U8" i="17"/>
  <c r="V11" i="17"/>
  <c r="O11" i="17" s="1"/>
  <c r="U11" i="17"/>
  <c r="V12" i="17"/>
  <c r="O12" i="17" s="1"/>
  <c r="U12" i="17"/>
  <c r="V6" i="17"/>
  <c r="O6" i="17" s="1"/>
  <c r="U6" i="17"/>
  <c r="V7" i="17"/>
  <c r="O7" i="17" s="1"/>
  <c r="U7" i="17"/>
  <c r="V4" i="17"/>
  <c r="O4" i="17" s="1"/>
  <c r="J14" i="17"/>
  <c r="C14" i="17" s="1"/>
  <c r="I14" i="17"/>
  <c r="J18" i="17"/>
  <c r="C18" i="17" s="1"/>
  <c r="I18" i="17"/>
  <c r="J24" i="17"/>
  <c r="C24" i="17" s="1"/>
  <c r="I24" i="17"/>
  <c r="J15" i="17"/>
  <c r="C15" i="17" s="1"/>
  <c r="I15" i="17"/>
  <c r="J6" i="17"/>
  <c r="C6" i="17" s="1"/>
  <c r="I6" i="17"/>
  <c r="J9" i="17"/>
  <c r="C9" i="17" s="1"/>
  <c r="I9" i="17"/>
  <c r="J12" i="17"/>
  <c r="C12" i="17" s="1"/>
  <c r="I12" i="17"/>
  <c r="AD19" i="17"/>
  <c r="Z19" i="17" s="1"/>
  <c r="I20" i="17"/>
  <c r="J8" i="17"/>
  <c r="C8" i="17" s="1"/>
  <c r="I8" i="17"/>
  <c r="J7" i="17"/>
  <c r="C7" i="17" s="1"/>
  <c r="I7" i="17"/>
  <c r="J13" i="17"/>
  <c r="C13" i="17" s="1"/>
  <c r="I13" i="17"/>
  <c r="J17" i="17"/>
  <c r="C17" i="17" s="1"/>
  <c r="I17" i="17"/>
  <c r="J21" i="17"/>
  <c r="C21" i="17" s="1"/>
  <c r="I21" i="17"/>
  <c r="J25" i="17"/>
  <c r="C25" i="17" s="1"/>
  <c r="I25" i="17"/>
  <c r="J22" i="17"/>
  <c r="C22" i="17" s="1"/>
  <c r="I22" i="17"/>
  <c r="J23" i="17"/>
  <c r="C23" i="17" s="1"/>
  <c r="I23" i="17"/>
  <c r="J4" i="17"/>
  <c r="C4" i="17" s="1"/>
  <c r="V5" i="18"/>
  <c r="O5" i="18" s="1"/>
  <c r="U5" i="18"/>
  <c r="V8" i="18"/>
  <c r="O8" i="18" s="1"/>
  <c r="U8" i="18"/>
  <c r="V11" i="18"/>
  <c r="O11" i="18" s="1"/>
  <c r="U11" i="18"/>
  <c r="V12" i="18"/>
  <c r="O12" i="18" s="1"/>
  <c r="U12" i="18"/>
  <c r="V7" i="18"/>
  <c r="O7" i="18" s="1"/>
  <c r="U7" i="18"/>
  <c r="V6" i="18"/>
  <c r="O6" i="18" s="1"/>
  <c r="U6" i="18"/>
  <c r="V4" i="18"/>
  <c r="O4" i="18" s="1"/>
  <c r="J22" i="18"/>
  <c r="C22" i="18" s="1"/>
  <c r="I22" i="18"/>
  <c r="J8" i="18"/>
  <c r="C8" i="18" s="1"/>
  <c r="I8" i="18"/>
  <c r="AD11" i="18"/>
  <c r="Z11" i="18" s="1"/>
  <c r="I11" i="18"/>
  <c r="J18" i="18"/>
  <c r="C18" i="18" s="1"/>
  <c r="I18" i="18"/>
  <c r="J15" i="18"/>
  <c r="C15" i="18" s="1"/>
  <c r="I15" i="18"/>
  <c r="J14" i="18"/>
  <c r="C14" i="18" s="1"/>
  <c r="I14" i="18"/>
  <c r="J6" i="18"/>
  <c r="C6" i="18" s="1"/>
  <c r="I6" i="18"/>
  <c r="J9" i="18"/>
  <c r="C9" i="18" s="1"/>
  <c r="I9" i="18"/>
  <c r="J12" i="18"/>
  <c r="C12" i="18" s="1"/>
  <c r="I12" i="18"/>
  <c r="AD15" i="18"/>
  <c r="Z15" i="18" s="1"/>
  <c r="I16" i="18"/>
  <c r="AD19" i="18"/>
  <c r="Z19" i="18" s="1"/>
  <c r="I20" i="18"/>
  <c r="J13" i="18"/>
  <c r="C13" i="18" s="1"/>
  <c r="I13" i="18"/>
  <c r="J17" i="18"/>
  <c r="C17" i="18" s="1"/>
  <c r="I17" i="18"/>
  <c r="J21" i="18"/>
  <c r="C21" i="18" s="1"/>
  <c r="I21" i="18"/>
  <c r="J4" i="18"/>
  <c r="C4" i="18" s="1"/>
  <c r="V6" i="19"/>
  <c r="O6" i="19" s="1"/>
  <c r="U6" i="19"/>
  <c r="V12" i="19"/>
  <c r="O12" i="19" s="1"/>
  <c r="U12" i="19"/>
  <c r="V7" i="19"/>
  <c r="O7" i="19" s="1"/>
  <c r="U7" i="19"/>
  <c r="V5" i="19"/>
  <c r="O5" i="19" s="1"/>
  <c r="U5" i="19"/>
  <c r="V8" i="19"/>
  <c r="O8" i="19" s="1"/>
  <c r="U8" i="19"/>
  <c r="V11" i="19"/>
  <c r="O11" i="19" s="1"/>
  <c r="U11" i="19"/>
  <c r="V4" i="19"/>
  <c r="O4" i="19" s="1"/>
  <c r="AD15" i="19"/>
  <c r="Z15" i="19" s="1"/>
  <c r="I16" i="19"/>
  <c r="AD19" i="19"/>
  <c r="Z19" i="19" s="1"/>
  <c r="I20" i="19"/>
  <c r="J13" i="19"/>
  <c r="C13" i="19" s="1"/>
  <c r="I13" i="19"/>
  <c r="J17" i="19"/>
  <c r="C17" i="19" s="1"/>
  <c r="I17" i="19"/>
  <c r="J21" i="19"/>
  <c r="C21" i="19" s="1"/>
  <c r="I21" i="19"/>
  <c r="J22" i="19"/>
  <c r="C22" i="19" s="1"/>
  <c r="I22" i="19"/>
  <c r="J14" i="19"/>
  <c r="C14" i="19" s="1"/>
  <c r="I14" i="19"/>
  <c r="J18" i="19"/>
  <c r="C18" i="19" s="1"/>
  <c r="I18" i="19"/>
  <c r="J8" i="19"/>
  <c r="C8" i="19" s="1"/>
  <c r="I8" i="19"/>
  <c r="AD11" i="19"/>
  <c r="Z11" i="19" s="1"/>
  <c r="I11" i="19"/>
  <c r="J15" i="19"/>
  <c r="C15" i="19" s="1"/>
  <c r="I15" i="19"/>
  <c r="J19" i="19"/>
  <c r="C19" i="19" s="1"/>
  <c r="I19" i="19"/>
  <c r="J6" i="19"/>
  <c r="C6" i="19" s="1"/>
  <c r="I6" i="19"/>
  <c r="J9" i="19"/>
  <c r="C9" i="19" s="1"/>
  <c r="I9" i="19"/>
  <c r="J12" i="19"/>
  <c r="C12" i="19" s="1"/>
  <c r="I12" i="19"/>
  <c r="J4" i="19"/>
  <c r="C4" i="19" s="1"/>
  <c r="V10" i="20"/>
  <c r="O10" i="20" s="1"/>
  <c r="U10" i="20"/>
  <c r="V8" i="20"/>
  <c r="O8" i="20" s="1"/>
  <c r="U8" i="20"/>
  <c r="V11" i="20"/>
  <c r="O11" i="20" s="1"/>
  <c r="U11" i="20"/>
  <c r="V6" i="20"/>
  <c r="O6" i="20" s="1"/>
  <c r="U6" i="20"/>
  <c r="V9" i="20"/>
  <c r="O9" i="20" s="1"/>
  <c r="U9" i="20"/>
  <c r="V5" i="20"/>
  <c r="O5" i="20" s="1"/>
  <c r="U5" i="20"/>
  <c r="V12" i="20"/>
  <c r="O12" i="20" s="1"/>
  <c r="U12" i="20"/>
  <c r="V7" i="20"/>
  <c r="O7" i="20" s="1"/>
  <c r="U7" i="20"/>
  <c r="V4" i="20"/>
  <c r="O4" i="20" s="1"/>
  <c r="J5" i="20"/>
  <c r="C5" i="20" s="1"/>
  <c r="I5" i="20"/>
  <c r="J13" i="20"/>
  <c r="C13" i="20" s="1"/>
  <c r="I13" i="20"/>
  <c r="J16" i="20"/>
  <c r="C16" i="20" s="1"/>
  <c r="I16" i="20"/>
  <c r="J8" i="20"/>
  <c r="C8" i="20" s="1"/>
  <c r="I8" i="20"/>
  <c r="J20" i="20"/>
  <c r="C20" i="20" s="1"/>
  <c r="I20" i="20"/>
  <c r="J17" i="20"/>
  <c r="C17" i="20" s="1"/>
  <c r="I17" i="20"/>
  <c r="AD11" i="20"/>
  <c r="Z11" i="20" s="1"/>
  <c r="I11" i="20"/>
  <c r="J14" i="20"/>
  <c r="C14" i="20" s="1"/>
  <c r="I14" i="20"/>
  <c r="J6" i="20"/>
  <c r="C6" i="20" s="1"/>
  <c r="I6" i="20"/>
  <c r="J21" i="20"/>
  <c r="C21" i="20" s="1"/>
  <c r="I21" i="20"/>
  <c r="J9" i="20"/>
  <c r="C9" i="20" s="1"/>
  <c r="I9" i="20"/>
  <c r="J22" i="20"/>
  <c r="C22" i="20" s="1"/>
  <c r="I22" i="20"/>
  <c r="J18" i="20"/>
  <c r="C18" i="20" s="1"/>
  <c r="I18" i="20"/>
  <c r="J12" i="20"/>
  <c r="C12" i="20" s="1"/>
  <c r="I12" i="20"/>
  <c r="J15" i="20"/>
  <c r="C15" i="20" s="1"/>
  <c r="I15" i="20"/>
  <c r="AD7" i="20"/>
  <c r="Z7" i="20" s="1"/>
  <c r="I7" i="20"/>
  <c r="AD18" i="20"/>
  <c r="Z18" i="20" s="1"/>
  <c r="I19" i="20"/>
  <c r="J10" i="20"/>
  <c r="C10" i="20" s="1"/>
  <c r="I10" i="20"/>
  <c r="J4" i="20"/>
  <c r="C4" i="20" s="1"/>
  <c r="V11" i="21"/>
  <c r="O11" i="21" s="1"/>
  <c r="U11" i="21"/>
  <c r="V5" i="21"/>
  <c r="O5" i="21" s="1"/>
  <c r="U5" i="21"/>
  <c r="V6" i="21"/>
  <c r="O6" i="21" s="1"/>
  <c r="U6" i="21"/>
  <c r="V7" i="21"/>
  <c r="O7" i="21" s="1"/>
  <c r="U7" i="21"/>
  <c r="V8" i="21"/>
  <c r="O8" i="21" s="1"/>
  <c r="U8" i="21"/>
  <c r="V9" i="21"/>
  <c r="O9" i="21" s="1"/>
  <c r="U9" i="21"/>
  <c r="V10" i="21"/>
  <c r="O10" i="21" s="1"/>
  <c r="U10" i="21"/>
  <c r="V4" i="21"/>
  <c r="O4" i="21" s="1"/>
  <c r="J6" i="21"/>
  <c r="C6" i="21" s="1"/>
  <c r="I6" i="21"/>
  <c r="J5" i="21"/>
  <c r="C5" i="21" s="1"/>
  <c r="I5" i="21"/>
  <c r="L5" i="21" s="1"/>
  <c r="J4" i="21"/>
  <c r="C4" i="21" s="1"/>
  <c r="J5" i="22"/>
  <c r="C5" i="22" s="1"/>
  <c r="I5" i="22"/>
  <c r="J10" i="22"/>
  <c r="C10" i="22" s="1"/>
  <c r="I10" i="22"/>
  <c r="J6" i="22"/>
  <c r="C6" i="22" s="1"/>
  <c r="I6" i="22"/>
  <c r="J7" i="22"/>
  <c r="C7" i="22" s="1"/>
  <c r="I7" i="22"/>
  <c r="J8" i="22"/>
  <c r="C8" i="22" s="1"/>
  <c r="I8" i="22"/>
  <c r="J9" i="22"/>
  <c r="C9" i="22" s="1"/>
  <c r="I9" i="22"/>
  <c r="J4" i="22"/>
  <c r="C4" i="22" s="1"/>
  <c r="V9" i="22"/>
  <c r="O9" i="22" s="1"/>
  <c r="U9" i="22"/>
  <c r="V4" i="22"/>
  <c r="O4" i="22" s="1"/>
  <c r="U4" i="22"/>
  <c r="V5" i="22"/>
  <c r="O5" i="22" s="1"/>
  <c r="U5" i="22"/>
  <c r="V6" i="22"/>
  <c r="O6" i="22" s="1"/>
  <c r="U6" i="22"/>
  <c r="V7" i="22"/>
  <c r="O7" i="22" s="1"/>
  <c r="U7" i="22"/>
  <c r="V8" i="22"/>
  <c r="O8" i="22" s="1"/>
  <c r="U8" i="22"/>
  <c r="J4" i="23"/>
  <c r="C4" i="23" s="1"/>
  <c r="I4" i="23"/>
  <c r="AD7" i="23"/>
  <c r="Z7" i="23" s="1"/>
  <c r="I7" i="23"/>
  <c r="J10" i="23"/>
  <c r="C10" i="23" s="1"/>
  <c r="I10" i="23"/>
  <c r="J13" i="23"/>
  <c r="C13" i="23" s="1"/>
  <c r="I13" i="23"/>
  <c r="J17" i="23"/>
  <c r="C17" i="23" s="1"/>
  <c r="I17" i="23"/>
  <c r="J14" i="23"/>
  <c r="C14" i="23" s="1"/>
  <c r="I14" i="23"/>
  <c r="J18" i="23"/>
  <c r="C18" i="23" s="1"/>
  <c r="I18" i="23"/>
  <c r="J5" i="23"/>
  <c r="C5" i="23" s="1"/>
  <c r="I5" i="23"/>
  <c r="AD8" i="23"/>
  <c r="Z8" i="23" s="1"/>
  <c r="I8" i="23"/>
  <c r="AD11" i="23"/>
  <c r="Z11" i="23" s="1"/>
  <c r="I11" i="23"/>
  <c r="J15" i="23"/>
  <c r="C15" i="23" s="1"/>
  <c r="I15" i="23"/>
  <c r="AD18" i="23"/>
  <c r="Z18" i="23" s="1"/>
  <c r="I19" i="23"/>
  <c r="J6" i="23"/>
  <c r="C6" i="23" s="1"/>
  <c r="I6" i="23"/>
  <c r="J9" i="23"/>
  <c r="C9" i="23" s="1"/>
  <c r="I9" i="23"/>
  <c r="J12" i="23"/>
  <c r="C12" i="23" s="1"/>
  <c r="I12" i="23"/>
  <c r="AD15" i="23"/>
  <c r="Z15" i="23" s="1"/>
  <c r="I16" i="23"/>
  <c r="AD19" i="23"/>
  <c r="Z19" i="23" s="1"/>
  <c r="I20" i="23"/>
  <c r="V4" i="23"/>
  <c r="O4" i="23" s="1"/>
  <c r="U4" i="23"/>
  <c r="V7" i="23"/>
  <c r="O7" i="23" s="1"/>
  <c r="U7" i="23"/>
  <c r="V10" i="23"/>
  <c r="O10" i="23" s="1"/>
  <c r="U10" i="23"/>
  <c r="V5" i="23"/>
  <c r="O5" i="23" s="1"/>
  <c r="U5" i="23"/>
  <c r="V8" i="23"/>
  <c r="O8" i="23" s="1"/>
  <c r="U8" i="23"/>
  <c r="V11" i="23"/>
  <c r="O11" i="23" s="1"/>
  <c r="U11" i="23"/>
  <c r="V6" i="23"/>
  <c r="O6" i="23" s="1"/>
  <c r="U6" i="23"/>
  <c r="V9" i="23"/>
  <c r="O9" i="23" s="1"/>
  <c r="U9" i="23"/>
  <c r="V12" i="23"/>
  <c r="O12" i="23" s="1"/>
  <c r="U12" i="23"/>
  <c r="AF20" i="23"/>
  <c r="Z20" i="23"/>
  <c r="V12" i="12"/>
  <c r="AD35" i="12"/>
  <c r="Z35" i="12" s="1"/>
  <c r="V7" i="12"/>
  <c r="AD36" i="12"/>
  <c r="Z36" i="12" s="1"/>
  <c r="X5" i="11"/>
  <c r="V9" i="11"/>
  <c r="V6" i="11"/>
  <c r="V4" i="11"/>
  <c r="V10" i="11"/>
  <c r="J5" i="11"/>
  <c r="I5" i="11"/>
  <c r="J8" i="11"/>
  <c r="I8" i="11"/>
  <c r="J14" i="11"/>
  <c r="I14" i="11"/>
  <c r="J17" i="11"/>
  <c r="I17" i="11"/>
  <c r="J6" i="11"/>
  <c r="I6" i="11"/>
  <c r="J12" i="11"/>
  <c r="I12" i="11"/>
  <c r="J9" i="11"/>
  <c r="I9" i="11"/>
  <c r="J15" i="11"/>
  <c r="I15" i="11"/>
  <c r="J18" i="11"/>
  <c r="I18" i="11"/>
  <c r="J21" i="11"/>
  <c r="I21" i="11"/>
  <c r="J22" i="11"/>
  <c r="I22" i="11"/>
  <c r="J10" i="11"/>
  <c r="I10" i="11"/>
  <c r="J13" i="11"/>
  <c r="I13" i="11"/>
  <c r="AD17" i="11"/>
  <c r="I19" i="11"/>
  <c r="J4" i="11"/>
  <c r="AD18" i="11"/>
  <c r="J7" i="6"/>
  <c r="I7" i="6"/>
  <c r="J8" i="6"/>
  <c r="I8" i="6"/>
  <c r="J16" i="6"/>
  <c r="I16" i="6"/>
  <c r="J9" i="6"/>
  <c r="I9" i="6"/>
  <c r="J18" i="6"/>
  <c r="I18" i="6"/>
  <c r="J17" i="6"/>
  <c r="I17" i="6"/>
  <c r="J11" i="6"/>
  <c r="I11" i="6"/>
  <c r="J19" i="6"/>
  <c r="I19" i="6"/>
  <c r="J13" i="6"/>
  <c r="I13" i="6"/>
  <c r="J20" i="6"/>
  <c r="I20" i="6"/>
  <c r="J5" i="6"/>
  <c r="I5" i="6"/>
  <c r="J6" i="6"/>
  <c r="C6" i="6" s="1"/>
  <c r="I6" i="6"/>
  <c r="J14" i="6"/>
  <c r="I14" i="6"/>
  <c r="J21" i="6"/>
  <c r="I21" i="6"/>
  <c r="J22" i="6"/>
  <c r="I22" i="6"/>
  <c r="J15" i="6"/>
  <c r="I15" i="6"/>
  <c r="J4" i="6"/>
  <c r="V7" i="6"/>
  <c r="AE30" i="6" s="1"/>
  <c r="U7" i="6"/>
  <c r="V6" i="6"/>
  <c r="U6" i="6"/>
  <c r="V5" i="6"/>
  <c r="AE28" i="6" s="1"/>
  <c r="U5" i="6"/>
  <c r="V4" i="6"/>
  <c r="AE27" i="6" s="1"/>
  <c r="I5" i="10"/>
  <c r="I6" i="10"/>
  <c r="I11" i="10"/>
  <c r="I13" i="10"/>
  <c r="I14" i="10"/>
  <c r="I7" i="10"/>
  <c r="I4" i="10"/>
  <c r="V5" i="10"/>
  <c r="AE28" i="10" s="1"/>
  <c r="V12" i="10"/>
  <c r="AE35" i="10" s="1"/>
  <c r="V11" i="10"/>
  <c r="AE34" i="10" s="1"/>
  <c r="V6" i="10"/>
  <c r="AE29" i="10" s="1"/>
  <c r="V7" i="10"/>
  <c r="AE30" i="10" s="1"/>
  <c r="V13" i="10"/>
  <c r="AE36" i="10" s="1"/>
  <c r="V14" i="10"/>
  <c r="V8" i="10"/>
  <c r="AE31" i="10" s="1"/>
  <c r="V9" i="10"/>
  <c r="AE32" i="10" s="1"/>
  <c r="AD27" i="10"/>
  <c r="V10" i="10"/>
  <c r="AE33" i="10" s="1"/>
  <c r="AD10" i="10"/>
  <c r="I12" i="10"/>
  <c r="J19" i="10"/>
  <c r="I19" i="10"/>
  <c r="AD20" i="10"/>
  <c r="Z20" i="10" s="1"/>
  <c r="I8" i="10"/>
  <c r="AD18" i="10"/>
  <c r="I20" i="10"/>
  <c r="J22" i="10"/>
  <c r="I22" i="10"/>
  <c r="J9" i="10"/>
  <c r="I9" i="10"/>
  <c r="J10" i="10"/>
  <c r="I10" i="10"/>
  <c r="AD9" i="10"/>
  <c r="V8" i="11"/>
  <c r="AD31" i="11"/>
  <c r="V5" i="11"/>
  <c r="AD28" i="11"/>
  <c r="V7" i="11"/>
  <c r="AD30" i="11"/>
  <c r="AD32" i="11"/>
  <c r="AD29" i="11"/>
  <c r="AD16" i="11"/>
  <c r="AD19" i="11"/>
  <c r="AD15" i="11"/>
  <c r="AD14" i="11"/>
  <c r="AD7" i="11"/>
  <c r="AD9" i="11"/>
  <c r="AD4" i="11"/>
  <c r="AD11" i="11"/>
  <c r="AD13" i="11"/>
  <c r="AD12" i="11"/>
  <c r="AD10" i="11"/>
  <c r="AD6" i="11"/>
  <c r="AD20" i="16"/>
  <c r="Z20" i="16" s="1"/>
  <c r="J10" i="16"/>
  <c r="C10" i="16" s="1"/>
  <c r="AD22" i="16"/>
  <c r="Z22" i="16" s="1"/>
  <c r="AD18" i="16"/>
  <c r="Z18" i="16" s="1"/>
  <c r="J5" i="16"/>
  <c r="C5" i="16" s="1"/>
  <c r="AD21" i="16"/>
  <c r="Z21" i="16" s="1"/>
  <c r="J10" i="17"/>
  <c r="C10" i="17" s="1"/>
  <c r="AD22" i="17"/>
  <c r="Z22" i="17" s="1"/>
  <c r="AD15" i="17"/>
  <c r="Z15" i="17" s="1"/>
  <c r="AD18" i="17"/>
  <c r="Z18" i="17" s="1"/>
  <c r="J5" i="17"/>
  <c r="C5" i="17" s="1"/>
  <c r="AD21" i="17"/>
  <c r="Z21" i="17" s="1"/>
  <c r="AD11" i="17"/>
  <c r="Z11" i="17" s="1"/>
  <c r="AD7" i="18"/>
  <c r="Z7" i="18" s="1"/>
  <c r="J10" i="18"/>
  <c r="AD22" i="18"/>
  <c r="Z22" i="18" s="1"/>
  <c r="AD18" i="18"/>
  <c r="Z18" i="18" s="1"/>
  <c r="J5" i="18"/>
  <c r="AD21" i="18"/>
  <c r="Z21" i="18" s="1"/>
  <c r="AD8" i="15"/>
  <c r="AD7" i="19"/>
  <c r="Z7" i="19" s="1"/>
  <c r="J10" i="19"/>
  <c r="C10" i="19" s="1"/>
  <c r="AD22" i="19"/>
  <c r="Z22" i="19" s="1"/>
  <c r="J5" i="19"/>
  <c r="C5" i="19" s="1"/>
  <c r="AD21" i="19"/>
  <c r="Z21" i="19" s="1"/>
  <c r="J5" i="15"/>
  <c r="AD6" i="15"/>
  <c r="AD15" i="15"/>
  <c r="AD13" i="15"/>
  <c r="J10" i="15"/>
  <c r="AE10" i="15" s="1"/>
  <c r="AD22" i="15"/>
  <c r="Z22" i="15" s="1"/>
  <c r="AD19" i="15"/>
  <c r="J5" i="14"/>
  <c r="AD13" i="14"/>
  <c r="AD7" i="14"/>
  <c r="J10" i="14"/>
  <c r="AD11" i="14"/>
  <c r="AD15" i="14"/>
  <c r="J5" i="13"/>
  <c r="AD14" i="13"/>
  <c r="AD16" i="13"/>
  <c r="J10" i="13"/>
  <c r="AD8" i="13"/>
  <c r="AD13" i="13"/>
  <c r="V9" i="6"/>
  <c r="AE32" i="6" s="1"/>
  <c r="AD33" i="6"/>
  <c r="V13" i="6"/>
  <c r="AE36" i="6" s="1"/>
  <c r="AD29" i="6"/>
  <c r="V12" i="6"/>
  <c r="AE35" i="6" s="1"/>
  <c r="AD35" i="6"/>
  <c r="V8" i="6"/>
  <c r="AE31" i="6" s="1"/>
  <c r="AD34" i="6"/>
  <c r="V10" i="6"/>
  <c r="AE33" i="6" s="1"/>
  <c r="AD32" i="6"/>
  <c r="V11" i="6"/>
  <c r="AE34" i="6" s="1"/>
  <c r="AD36" i="6"/>
  <c r="AD12" i="13"/>
  <c r="AD5" i="13"/>
  <c r="AD16" i="15"/>
  <c r="AD16" i="16"/>
  <c r="Z16" i="16" s="1"/>
  <c r="AD8" i="16"/>
  <c r="Z8" i="16" s="1"/>
  <c r="AD12" i="16"/>
  <c r="Z12" i="16" s="1"/>
  <c r="AD4" i="22"/>
  <c r="Z4" i="22" s="1"/>
  <c r="AD20" i="22"/>
  <c r="AD16" i="22"/>
  <c r="Z16" i="22" s="1"/>
  <c r="AD8" i="22"/>
  <c r="Z8" i="22" s="1"/>
  <c r="AD28" i="22"/>
  <c r="Z28" i="22" s="1"/>
  <c r="AD12" i="22"/>
  <c r="Z12" i="22" s="1"/>
  <c r="V9" i="19"/>
  <c r="O9" i="19" s="1"/>
  <c r="AD32" i="19"/>
  <c r="Z32" i="19" s="1"/>
  <c r="V10" i="19"/>
  <c r="O10" i="19" s="1"/>
  <c r="AD35" i="19"/>
  <c r="Z35" i="19" s="1"/>
  <c r="AD9" i="18"/>
  <c r="Z9" i="18" s="1"/>
  <c r="AD17" i="18"/>
  <c r="Z17" i="18" s="1"/>
  <c r="V10" i="18"/>
  <c r="AD35" i="18"/>
  <c r="Z35" i="18" s="1"/>
  <c r="AD13" i="18"/>
  <c r="Z13" i="18" s="1"/>
  <c r="AD5" i="18"/>
  <c r="Z5" i="18" s="1"/>
  <c r="V9" i="18"/>
  <c r="AD32" i="18"/>
  <c r="Z32" i="18" s="1"/>
  <c r="AD13" i="17"/>
  <c r="Z13" i="17" s="1"/>
  <c r="AD5" i="17"/>
  <c r="Z5" i="17" s="1"/>
  <c r="V9" i="17"/>
  <c r="O9" i="17" s="1"/>
  <c r="AD32" i="17"/>
  <c r="Z32" i="17" s="1"/>
  <c r="AD17" i="17"/>
  <c r="Z17" i="17" s="1"/>
  <c r="V10" i="17"/>
  <c r="O10" i="17" s="1"/>
  <c r="AD35" i="17"/>
  <c r="Z35" i="17" s="1"/>
  <c r="AD9" i="17"/>
  <c r="Z9" i="17" s="1"/>
  <c r="V9" i="16"/>
  <c r="O9" i="16" s="1"/>
  <c r="AD32" i="16"/>
  <c r="Z32" i="16" s="1"/>
  <c r="V10" i="16"/>
  <c r="O10" i="16" s="1"/>
  <c r="AD35" i="16"/>
  <c r="Z35" i="16" s="1"/>
  <c r="AD4" i="16"/>
  <c r="Z4" i="16" s="1"/>
  <c r="AD9" i="15"/>
  <c r="AD5" i="15"/>
  <c r="AD4" i="15"/>
  <c r="AD21" i="15"/>
  <c r="Z21" i="15" s="1"/>
  <c r="V10" i="15"/>
  <c r="AD36" i="15"/>
  <c r="AD17" i="15"/>
  <c r="V9" i="15"/>
  <c r="AD35" i="15"/>
  <c r="AD22" i="14"/>
  <c r="J4" i="14"/>
  <c r="AD16" i="14"/>
  <c r="J16" i="14"/>
  <c r="V9" i="14"/>
  <c r="AD32" i="14"/>
  <c r="J12" i="14"/>
  <c r="AD19" i="14"/>
  <c r="V10" i="14"/>
  <c r="AD36" i="14"/>
  <c r="Z36" i="14" s="1"/>
  <c r="J20" i="14"/>
  <c r="AD10" i="13"/>
  <c r="V10" i="13"/>
  <c r="AD34" i="13"/>
  <c r="AD20" i="13"/>
  <c r="V9" i="13"/>
  <c r="AD31" i="13"/>
  <c r="AD17" i="13"/>
  <c r="AD13" i="12"/>
  <c r="AD8" i="12"/>
  <c r="AD20" i="12"/>
  <c r="Z20" i="12" s="1"/>
  <c r="V9" i="12"/>
  <c r="AD29" i="12"/>
  <c r="AD22" i="12"/>
  <c r="Z22" i="12" s="1"/>
  <c r="V10" i="12"/>
  <c r="AD33" i="12"/>
  <c r="AD4" i="12"/>
  <c r="AD16" i="23"/>
  <c r="Z16" i="23" s="1"/>
  <c r="AD9" i="23"/>
  <c r="Z9" i="23" s="1"/>
  <c r="AD4" i="23"/>
  <c r="Z4" i="23" s="1"/>
  <c r="J16" i="23"/>
  <c r="C16" i="23" s="1"/>
  <c r="J8" i="23"/>
  <c r="C8" i="23" s="1"/>
  <c r="AD12" i="23"/>
  <c r="Z12" i="23" s="1"/>
  <c r="AD25" i="23"/>
  <c r="Z25" i="23" s="1"/>
  <c r="AD5" i="23"/>
  <c r="Z5" i="23" s="1"/>
  <c r="AD17" i="23"/>
  <c r="Z17" i="23" s="1"/>
  <c r="J20" i="23"/>
  <c r="C20" i="23" s="1"/>
  <c r="AD28" i="23"/>
  <c r="Z28" i="23" s="1"/>
  <c r="AD13" i="23"/>
  <c r="Z13" i="23" s="1"/>
  <c r="AD4" i="10"/>
  <c r="AD17" i="10"/>
  <c r="AD8" i="10"/>
  <c r="AD11" i="10"/>
  <c r="AD12" i="10"/>
  <c r="AD33" i="10"/>
  <c r="AD36" i="10"/>
  <c r="AF36" i="10" s="1"/>
  <c r="J15" i="10"/>
  <c r="AD22" i="10"/>
  <c r="Z22" i="10" s="1"/>
  <c r="J25" i="10"/>
  <c r="AD15" i="10"/>
  <c r="J23" i="10"/>
  <c r="AD19" i="10"/>
  <c r="Z19" i="10" s="1"/>
  <c r="J27" i="10"/>
  <c r="AD7" i="10"/>
  <c r="J6" i="10"/>
  <c r="AD14" i="10"/>
  <c r="J24" i="10"/>
  <c r="AD13" i="10"/>
  <c r="J13" i="10"/>
  <c r="AD5" i="10"/>
  <c r="J14" i="10"/>
  <c r="AD6" i="10"/>
  <c r="J26" i="10"/>
  <c r="AD21" i="10"/>
  <c r="Z21" i="10" s="1"/>
  <c r="J21" i="10"/>
  <c r="AD16" i="10"/>
  <c r="AD35" i="10"/>
  <c r="AF35" i="10" s="1"/>
  <c r="AD32" i="10"/>
  <c r="AD34" i="10"/>
  <c r="AF34" i="10" s="1"/>
  <c r="AD31" i="10"/>
  <c r="J4" i="10"/>
  <c r="J7" i="23"/>
  <c r="C7" i="23" s="1"/>
  <c r="J11" i="23"/>
  <c r="C11" i="23" s="1"/>
  <c r="J19" i="23"/>
  <c r="C19" i="23" s="1"/>
  <c r="AD6" i="23"/>
  <c r="Z6" i="23" s="1"/>
  <c r="AD10" i="23"/>
  <c r="Z10" i="23" s="1"/>
  <c r="AD14" i="23"/>
  <c r="Z14" i="23" s="1"/>
  <c r="AD26" i="23"/>
  <c r="Z26" i="23" s="1"/>
  <c r="AD27" i="23"/>
  <c r="Z27" i="23" s="1"/>
  <c r="AD5" i="22"/>
  <c r="Z5" i="22" s="1"/>
  <c r="AD9" i="22"/>
  <c r="Z9" i="22" s="1"/>
  <c r="AD13" i="22"/>
  <c r="Z13" i="22" s="1"/>
  <c r="AD17" i="22"/>
  <c r="Z17" i="22" s="1"/>
  <c r="AD25" i="22"/>
  <c r="Z25" i="22" s="1"/>
  <c r="AD6" i="22"/>
  <c r="Z6" i="22" s="1"/>
  <c r="AD10" i="22"/>
  <c r="Z10" i="22" s="1"/>
  <c r="AD14" i="22"/>
  <c r="Z14" i="22" s="1"/>
  <c r="AD26" i="22"/>
  <c r="Z26" i="22" s="1"/>
  <c r="AD27" i="22"/>
  <c r="Z27" i="22" s="1"/>
  <c r="AD4" i="21"/>
  <c r="Z4" i="21" s="1"/>
  <c r="AD8" i="21"/>
  <c r="Z8" i="21" s="1"/>
  <c r="AD12" i="21"/>
  <c r="Z12" i="21" s="1"/>
  <c r="AD16" i="21"/>
  <c r="Z16" i="21" s="1"/>
  <c r="AD20" i="21"/>
  <c r="AD28" i="21"/>
  <c r="Z28" i="21" s="1"/>
  <c r="AD5" i="21"/>
  <c r="Z5" i="21" s="1"/>
  <c r="AD9" i="21"/>
  <c r="Z9" i="21" s="1"/>
  <c r="AD13" i="21"/>
  <c r="Z13" i="21" s="1"/>
  <c r="AD17" i="21"/>
  <c r="Z17" i="21" s="1"/>
  <c r="AD25" i="21"/>
  <c r="Z25" i="21" s="1"/>
  <c r="AD6" i="21"/>
  <c r="Z6" i="21" s="1"/>
  <c r="AD10" i="21"/>
  <c r="Z10" i="21" s="1"/>
  <c r="AD14" i="21"/>
  <c r="Z14" i="21" s="1"/>
  <c r="AD26" i="21"/>
  <c r="Z26" i="21" s="1"/>
  <c r="AD27" i="21"/>
  <c r="Z27" i="21" s="1"/>
  <c r="AD4" i="20"/>
  <c r="Z4" i="20" s="1"/>
  <c r="AD8" i="20"/>
  <c r="Z8" i="20" s="1"/>
  <c r="AD12" i="20"/>
  <c r="Z12" i="20" s="1"/>
  <c r="AD16" i="20"/>
  <c r="Z16" i="20" s="1"/>
  <c r="AD20" i="20"/>
  <c r="AD30" i="20"/>
  <c r="J7" i="20"/>
  <c r="C7" i="20" s="1"/>
  <c r="J11" i="20"/>
  <c r="C11" i="20" s="1"/>
  <c r="J19" i="20"/>
  <c r="C19" i="20" s="1"/>
  <c r="AD28" i="20"/>
  <c r="AD29" i="20"/>
  <c r="AD13" i="19"/>
  <c r="Z13" i="19" s="1"/>
  <c r="AD9" i="19"/>
  <c r="Z9" i="19" s="1"/>
  <c r="AD20" i="19"/>
  <c r="Z20" i="19" s="1"/>
  <c r="AD5" i="19"/>
  <c r="Z5" i="19" s="1"/>
  <c r="AD16" i="19"/>
  <c r="Z16" i="19" s="1"/>
  <c r="AD27" i="19"/>
  <c r="Z27" i="19" s="1"/>
  <c r="AD12" i="19"/>
  <c r="Z12" i="19" s="1"/>
  <c r="AD8" i="19"/>
  <c r="Z8" i="19" s="1"/>
  <c r="AD30" i="19"/>
  <c r="Z30" i="19" s="1"/>
  <c r="AD4" i="19"/>
  <c r="Z4" i="19" s="1"/>
  <c r="AD17" i="19"/>
  <c r="Z17" i="19" s="1"/>
  <c r="J16" i="19"/>
  <c r="C16" i="19" s="1"/>
  <c r="J20" i="19"/>
  <c r="C20" i="19" s="1"/>
  <c r="J11" i="19"/>
  <c r="C11" i="19" s="1"/>
  <c r="AD6" i="19"/>
  <c r="Z6" i="19" s="1"/>
  <c r="AD10" i="19"/>
  <c r="Z10" i="19" s="1"/>
  <c r="AD14" i="19"/>
  <c r="Z14" i="19" s="1"/>
  <c r="AD18" i="19"/>
  <c r="Z18" i="19" s="1"/>
  <c r="AD28" i="19"/>
  <c r="Z28" i="19" s="1"/>
  <c r="J7" i="19"/>
  <c r="C7" i="19" s="1"/>
  <c r="AD29" i="19"/>
  <c r="Z29" i="19" s="1"/>
  <c r="AE4" i="18"/>
  <c r="AE5" i="18"/>
  <c r="AE14" i="18"/>
  <c r="AE28" i="18"/>
  <c r="AE12" i="18"/>
  <c r="AE9" i="18"/>
  <c r="AE29" i="18"/>
  <c r="AE10" i="18"/>
  <c r="AE16" i="18"/>
  <c r="AE27" i="18"/>
  <c r="AE8" i="18"/>
  <c r="AE30" i="18"/>
  <c r="AE6" i="18"/>
  <c r="AE13" i="18"/>
  <c r="AD4" i="18"/>
  <c r="Z4" i="18" s="1"/>
  <c r="AD8" i="18"/>
  <c r="Z8" i="18" s="1"/>
  <c r="AD12" i="18"/>
  <c r="Z12" i="18" s="1"/>
  <c r="AD16" i="18"/>
  <c r="Z16" i="18" s="1"/>
  <c r="AD20" i="18"/>
  <c r="Z20" i="18" s="1"/>
  <c r="AD30" i="18"/>
  <c r="Z30" i="18" s="1"/>
  <c r="J16" i="18"/>
  <c r="J20" i="18"/>
  <c r="C20" i="18" s="1"/>
  <c r="J19" i="18"/>
  <c r="C19" i="18" s="1"/>
  <c r="AD6" i="18"/>
  <c r="Z6" i="18" s="1"/>
  <c r="AD10" i="18"/>
  <c r="Z10" i="18" s="1"/>
  <c r="AD14" i="18"/>
  <c r="Z14" i="18" s="1"/>
  <c r="AD28" i="18"/>
  <c r="Z28" i="18" s="1"/>
  <c r="J11" i="18"/>
  <c r="C11" i="18" s="1"/>
  <c r="J7" i="18"/>
  <c r="AD29" i="18"/>
  <c r="Z29" i="18" s="1"/>
  <c r="AD4" i="17"/>
  <c r="Z4" i="17" s="1"/>
  <c r="AD8" i="17"/>
  <c r="Z8" i="17" s="1"/>
  <c r="AD12" i="17"/>
  <c r="Z12" i="17" s="1"/>
  <c r="AD16" i="17"/>
  <c r="Z16" i="17" s="1"/>
  <c r="AD20" i="17"/>
  <c r="Z20" i="17" s="1"/>
  <c r="AD30" i="17"/>
  <c r="Z30" i="17" s="1"/>
  <c r="J19" i="17"/>
  <c r="C19" i="17" s="1"/>
  <c r="J16" i="17"/>
  <c r="C16" i="17" s="1"/>
  <c r="J20" i="17"/>
  <c r="C20" i="17" s="1"/>
  <c r="AD6" i="17"/>
  <c r="Z6" i="17" s="1"/>
  <c r="AD10" i="17"/>
  <c r="Z10" i="17" s="1"/>
  <c r="AD14" i="17"/>
  <c r="Z14" i="17" s="1"/>
  <c r="AD28" i="17"/>
  <c r="Z28" i="17" s="1"/>
  <c r="J11" i="17"/>
  <c r="C11" i="17" s="1"/>
  <c r="AD7" i="17"/>
  <c r="Z7" i="17" s="1"/>
  <c r="AD29" i="17"/>
  <c r="Z29" i="17" s="1"/>
  <c r="AF30" i="16"/>
  <c r="J19" i="16"/>
  <c r="C19" i="16" s="1"/>
  <c r="AD5" i="16"/>
  <c r="Z5" i="16" s="1"/>
  <c r="AD9" i="16"/>
  <c r="Z9" i="16" s="1"/>
  <c r="AD13" i="16"/>
  <c r="Z13" i="16" s="1"/>
  <c r="AD17" i="16"/>
  <c r="Z17" i="16" s="1"/>
  <c r="AD27" i="16"/>
  <c r="Z27" i="16" s="1"/>
  <c r="J16" i="16"/>
  <c r="C16" i="16" s="1"/>
  <c r="J20" i="16"/>
  <c r="C20" i="16" s="1"/>
  <c r="AD6" i="16"/>
  <c r="Z6" i="16" s="1"/>
  <c r="AD10" i="16"/>
  <c r="Z10" i="16" s="1"/>
  <c r="AD14" i="16"/>
  <c r="Z14" i="16" s="1"/>
  <c r="AD28" i="16"/>
  <c r="Z28" i="16" s="1"/>
  <c r="AD7" i="16"/>
  <c r="Z7" i="16" s="1"/>
  <c r="AD11" i="16"/>
  <c r="Z11" i="16" s="1"/>
  <c r="AD29" i="16"/>
  <c r="Z29" i="16" s="1"/>
  <c r="J7" i="15"/>
  <c r="J11" i="15"/>
  <c r="J19" i="15"/>
  <c r="J16" i="15"/>
  <c r="J20" i="15"/>
  <c r="AD10" i="15"/>
  <c r="AD11" i="15"/>
  <c r="AD18" i="15"/>
  <c r="AD31" i="15"/>
  <c r="AD27" i="15"/>
  <c r="J11" i="14"/>
  <c r="J19" i="14"/>
  <c r="AD4" i="14"/>
  <c r="AD20" i="14"/>
  <c r="AD14" i="14"/>
  <c r="AD17" i="14"/>
  <c r="AD27" i="14"/>
  <c r="J7" i="14"/>
  <c r="AE7" i="14" s="1"/>
  <c r="AD5" i="14"/>
  <c r="AD12" i="14"/>
  <c r="AD18" i="14"/>
  <c r="AD34" i="14"/>
  <c r="Z34" i="14" s="1"/>
  <c r="AD28" i="14"/>
  <c r="J7" i="13"/>
  <c r="J11" i="13"/>
  <c r="J19" i="13"/>
  <c r="AE16" i="13" s="1"/>
  <c r="AD4" i="13"/>
  <c r="AD7" i="13"/>
  <c r="AD22" i="13"/>
  <c r="Z22" i="13" s="1"/>
  <c r="AD15" i="13"/>
  <c r="AD29" i="13"/>
  <c r="J16" i="13"/>
  <c r="J20" i="13"/>
  <c r="AD18" i="13"/>
  <c r="AD9" i="13"/>
  <c r="AD19" i="13"/>
  <c r="Z19" i="13" s="1"/>
  <c r="AD28" i="13"/>
  <c r="AD27" i="13"/>
  <c r="J7" i="12"/>
  <c r="J11" i="12"/>
  <c r="J19" i="12"/>
  <c r="AD10" i="12"/>
  <c r="AD18" i="12"/>
  <c r="AD15" i="12"/>
  <c r="AD12" i="12"/>
  <c r="AD28" i="12"/>
  <c r="J16" i="12"/>
  <c r="J20" i="12"/>
  <c r="AD6" i="12"/>
  <c r="AD7" i="12"/>
  <c r="AD21" i="12"/>
  <c r="AD30" i="12"/>
  <c r="AD27" i="12"/>
  <c r="J7" i="11"/>
  <c r="J11" i="11"/>
  <c r="J19" i="11"/>
  <c r="J16" i="11"/>
  <c r="J20" i="11"/>
  <c r="AD8" i="11"/>
  <c r="AD5" i="11"/>
  <c r="AD20" i="11"/>
  <c r="AD27" i="11"/>
  <c r="AD34" i="11"/>
  <c r="J17" i="10"/>
  <c r="J12" i="10"/>
  <c r="J20" i="10"/>
  <c r="J16" i="10"/>
  <c r="J18" i="10"/>
  <c r="J8" i="10"/>
  <c r="AD28" i="10"/>
  <c r="AD30" i="10"/>
  <c r="J7" i="10"/>
  <c r="J11" i="10"/>
  <c r="J5" i="10"/>
  <c r="AD29" i="10"/>
  <c r="AD30" i="6"/>
  <c r="AD28" i="6"/>
  <c r="AD31" i="6"/>
  <c r="AD27" i="6"/>
  <c r="AB4" i="6"/>
  <c r="AC6" i="6"/>
  <c r="AC22" i="6"/>
  <c r="J10" i="6"/>
  <c r="AB17" i="6"/>
  <c r="AC10" i="6"/>
  <c r="AB9" i="6"/>
  <c r="AC17" i="6"/>
  <c r="AC9" i="6"/>
  <c r="AC15" i="6"/>
  <c r="AB8" i="6"/>
  <c r="AC8" i="6"/>
  <c r="AC12" i="6"/>
  <c r="AB11" i="6"/>
  <c r="AB7" i="6"/>
  <c r="AC11" i="6"/>
  <c r="AC7" i="6"/>
  <c r="AC21" i="6"/>
  <c r="AB5" i="6"/>
  <c r="J12" i="6"/>
  <c r="AC16" i="6"/>
  <c r="AC5" i="6"/>
  <c r="AB15" i="6"/>
  <c r="AB18" i="6"/>
  <c r="AC18" i="6"/>
  <c r="AB13" i="6"/>
  <c r="AC13" i="6"/>
  <c r="C23" i="15" l="1"/>
  <c r="C9" i="15"/>
  <c r="C22" i="15"/>
  <c r="C13" i="15"/>
  <c r="C6" i="15"/>
  <c r="C24" i="15"/>
  <c r="C10" i="15"/>
  <c r="C21" i="15"/>
  <c r="C20" i="15"/>
  <c r="C5" i="15"/>
  <c r="AE5" i="15"/>
  <c r="C25" i="15"/>
  <c r="C17" i="15"/>
  <c r="C16" i="15"/>
  <c r="C18" i="15"/>
  <c r="C4" i="15"/>
  <c r="C19" i="15"/>
  <c r="AE17" i="15"/>
  <c r="C15" i="15"/>
  <c r="C14" i="15"/>
  <c r="C7" i="15"/>
  <c r="AE7" i="15"/>
  <c r="C11" i="15"/>
  <c r="AE11" i="15"/>
  <c r="C8" i="15"/>
  <c r="C12" i="15"/>
  <c r="O10" i="15"/>
  <c r="AE32" i="15"/>
  <c r="O4" i="15"/>
  <c r="O15" i="15"/>
  <c r="O14" i="15"/>
  <c r="O13" i="15"/>
  <c r="O8" i="15"/>
  <c r="AE30" i="15"/>
  <c r="O6" i="15"/>
  <c r="O11" i="15"/>
  <c r="AE33" i="15"/>
  <c r="O9" i="15"/>
  <c r="AE31" i="15"/>
  <c r="O12" i="15"/>
  <c r="AE34" i="15"/>
  <c r="O7" i="15"/>
  <c r="AE29" i="15"/>
  <c r="O5" i="15"/>
  <c r="AE28" i="15"/>
  <c r="O10" i="14"/>
  <c r="O4" i="14"/>
  <c r="AE27" i="14"/>
  <c r="O8" i="14"/>
  <c r="AE31" i="14"/>
  <c r="O6" i="14"/>
  <c r="AE29" i="14"/>
  <c r="O5" i="14"/>
  <c r="AE28" i="14"/>
  <c r="O9" i="14"/>
  <c r="AE32" i="14"/>
  <c r="O12" i="14"/>
  <c r="O7" i="14"/>
  <c r="AE30" i="14"/>
  <c r="O11" i="14"/>
  <c r="AE33" i="14"/>
  <c r="C9" i="14"/>
  <c r="C11" i="14"/>
  <c r="AE10" i="14"/>
  <c r="C7" i="14"/>
  <c r="C4" i="14"/>
  <c r="C24" i="14"/>
  <c r="C25" i="14"/>
  <c r="C23" i="14"/>
  <c r="C26" i="14"/>
  <c r="AE4" i="14"/>
  <c r="C17" i="14"/>
  <c r="AE14" i="14"/>
  <c r="C13" i="14"/>
  <c r="AE12" i="14"/>
  <c r="C21" i="14"/>
  <c r="AE18" i="14"/>
  <c r="C6" i="14"/>
  <c r="AE6" i="14"/>
  <c r="C14" i="14"/>
  <c r="AE13" i="14"/>
  <c r="C12" i="14"/>
  <c r="AE11" i="14"/>
  <c r="C10" i="14"/>
  <c r="AE9" i="14"/>
  <c r="C18" i="14"/>
  <c r="AE15" i="14"/>
  <c r="C16" i="14"/>
  <c r="C22" i="14"/>
  <c r="C15" i="14"/>
  <c r="C8" i="14"/>
  <c r="AE8" i="14"/>
  <c r="C19" i="14"/>
  <c r="AE16" i="14"/>
  <c r="C20" i="14"/>
  <c r="AE17" i="14"/>
  <c r="C5" i="14"/>
  <c r="AE5" i="14"/>
  <c r="C18" i="13"/>
  <c r="AE15" i="13"/>
  <c r="C19" i="13"/>
  <c r="C5" i="13"/>
  <c r="AE5" i="13"/>
  <c r="C13" i="13"/>
  <c r="C20" i="13"/>
  <c r="C11" i="13"/>
  <c r="AE10" i="13"/>
  <c r="C6" i="13"/>
  <c r="C12" i="13"/>
  <c r="AE11" i="13"/>
  <c r="C14" i="13"/>
  <c r="AE12" i="13"/>
  <c r="AE18" i="13"/>
  <c r="C15" i="13"/>
  <c r="AE13" i="13"/>
  <c r="C16" i="13"/>
  <c r="AE14" i="13"/>
  <c r="C7" i="13"/>
  <c r="AE6" i="13"/>
  <c r="C9" i="13"/>
  <c r="AE8" i="13"/>
  <c r="C17" i="13"/>
  <c r="C10" i="13"/>
  <c r="AE9" i="13"/>
  <c r="C4" i="13"/>
  <c r="AE4" i="13"/>
  <c r="C21" i="13"/>
  <c r="AE17" i="13"/>
  <c r="C8" i="13"/>
  <c r="AE7" i="13"/>
  <c r="O4" i="13"/>
  <c r="O18" i="13"/>
  <c r="O16" i="13"/>
  <c r="O15" i="13"/>
  <c r="O14" i="13"/>
  <c r="O13" i="13"/>
  <c r="AE27" i="13"/>
  <c r="O11" i="13"/>
  <c r="AE34" i="13"/>
  <c r="O10" i="13"/>
  <c r="AE33" i="13"/>
  <c r="O12" i="13"/>
  <c r="O8" i="13"/>
  <c r="AE31" i="13"/>
  <c r="O9" i="13"/>
  <c r="AE32" i="13"/>
  <c r="O6" i="13"/>
  <c r="AE29" i="13"/>
  <c r="O5" i="13"/>
  <c r="AE28" i="13"/>
  <c r="O7" i="13"/>
  <c r="AE30" i="13"/>
  <c r="O14" i="12"/>
  <c r="O15" i="12"/>
  <c r="O13" i="12"/>
  <c r="O16" i="12"/>
  <c r="O5" i="12"/>
  <c r="AE28" i="12"/>
  <c r="Z32" i="12" s="1"/>
  <c r="O11" i="12"/>
  <c r="O9" i="12"/>
  <c r="AE29" i="12"/>
  <c r="Z29" i="12" s="1"/>
  <c r="O4" i="12"/>
  <c r="O7" i="12"/>
  <c r="O10" i="12"/>
  <c r="AE30" i="12"/>
  <c r="O12" i="12"/>
  <c r="AE31" i="12"/>
  <c r="O8" i="12"/>
  <c r="O6" i="12"/>
  <c r="C25" i="12"/>
  <c r="C7" i="12"/>
  <c r="C15" i="12"/>
  <c r="C27" i="12"/>
  <c r="C28" i="12"/>
  <c r="C23" i="12"/>
  <c r="C31" i="12"/>
  <c r="C20" i="12"/>
  <c r="C24" i="12"/>
  <c r="C21" i="12"/>
  <c r="C26" i="12"/>
  <c r="C17" i="12"/>
  <c r="C8" i="12"/>
  <c r="C5" i="12"/>
  <c r="C13" i="12"/>
  <c r="C18" i="12"/>
  <c r="C10" i="12"/>
  <c r="C16" i="12"/>
  <c r="AE10" i="12"/>
  <c r="C14" i="12"/>
  <c r="C12" i="12"/>
  <c r="C9" i="12"/>
  <c r="C19" i="12"/>
  <c r="AE12" i="12"/>
  <c r="C22" i="12"/>
  <c r="C11" i="12"/>
  <c r="C4" i="12"/>
  <c r="C6" i="12"/>
  <c r="X5" i="21"/>
  <c r="X5" i="19"/>
  <c r="AE35" i="18"/>
  <c r="O10" i="18"/>
  <c r="AE32" i="18"/>
  <c r="O9" i="18"/>
  <c r="AE20" i="18"/>
  <c r="C16" i="18"/>
  <c r="AE22" i="18"/>
  <c r="C10" i="18"/>
  <c r="AE17" i="18"/>
  <c r="C7" i="18"/>
  <c r="AE21" i="18"/>
  <c r="C5" i="18"/>
  <c r="L5" i="22"/>
  <c r="X5" i="20"/>
  <c r="L5" i="20"/>
  <c r="L5" i="19"/>
  <c r="X5" i="18"/>
  <c r="L5" i="18"/>
  <c r="X5" i="17"/>
  <c r="L5" i="17"/>
  <c r="X5" i="16"/>
  <c r="L5" i="16"/>
  <c r="X5" i="15"/>
  <c r="X5" i="14"/>
  <c r="L5" i="14"/>
  <c r="C27" i="14" s="1"/>
  <c r="X5" i="13"/>
  <c r="O17" i="13" s="1"/>
  <c r="L5" i="13"/>
  <c r="C25" i="13" s="1"/>
  <c r="X5" i="12"/>
  <c r="X5" i="22"/>
  <c r="AF20" i="22"/>
  <c r="Z20" i="22"/>
  <c r="AF20" i="21"/>
  <c r="Z20" i="21"/>
  <c r="AF20" i="20"/>
  <c r="Z20" i="20"/>
  <c r="L5" i="23"/>
  <c r="X5" i="23"/>
  <c r="AL36" i="10"/>
  <c r="AK34" i="6" s="1"/>
  <c r="AL34" i="10"/>
  <c r="AK36" i="6" s="1"/>
  <c r="AL35" i="10"/>
  <c r="AK35" i="6" s="1"/>
  <c r="AE19" i="11"/>
  <c r="C21" i="11"/>
  <c r="C17" i="11"/>
  <c r="AE4" i="11"/>
  <c r="C4" i="11"/>
  <c r="AE16" i="11"/>
  <c r="C18" i="11"/>
  <c r="AE13" i="11"/>
  <c r="C14" i="11"/>
  <c r="AE18" i="11"/>
  <c r="Z18" i="11" s="1"/>
  <c r="C20" i="11"/>
  <c r="AE14" i="11"/>
  <c r="Z14" i="11" s="1"/>
  <c r="C15" i="11"/>
  <c r="AE8" i="11"/>
  <c r="C8" i="11"/>
  <c r="AE17" i="11"/>
  <c r="C19" i="11"/>
  <c r="AE12" i="11"/>
  <c r="C13" i="11"/>
  <c r="AE9" i="11"/>
  <c r="C9" i="11"/>
  <c r="AE5" i="11"/>
  <c r="Z13" i="11" s="1"/>
  <c r="C5" i="11"/>
  <c r="C10" i="11"/>
  <c r="AE11" i="11"/>
  <c r="C12" i="11"/>
  <c r="AE10" i="11"/>
  <c r="C11" i="11"/>
  <c r="AE7" i="11"/>
  <c r="C7" i="11"/>
  <c r="AE20" i="11"/>
  <c r="C22" i="11"/>
  <c r="AE6" i="11"/>
  <c r="C6" i="11"/>
  <c r="AE15" i="11"/>
  <c r="Z15" i="11" s="1"/>
  <c r="C16" i="11"/>
  <c r="AE30" i="11"/>
  <c r="O7" i="11"/>
  <c r="AE32" i="11"/>
  <c r="O10" i="11"/>
  <c r="AE27" i="11"/>
  <c r="O4" i="11"/>
  <c r="O11" i="11"/>
  <c r="O12" i="11"/>
  <c r="O13" i="11"/>
  <c r="AE28" i="11"/>
  <c r="AF33" i="11" s="1"/>
  <c r="O5" i="11"/>
  <c r="AE29" i="11"/>
  <c r="O6" i="11"/>
  <c r="O9" i="11"/>
  <c r="AE31" i="11"/>
  <c r="O8" i="11"/>
  <c r="O14" i="11"/>
  <c r="O15" i="11"/>
  <c r="L5" i="11"/>
  <c r="C23" i="11" s="1"/>
  <c r="O6" i="6"/>
  <c r="AE29" i="6"/>
  <c r="O7" i="6"/>
  <c r="O9" i="6"/>
  <c r="O11" i="6"/>
  <c r="O4" i="6"/>
  <c r="O12" i="6"/>
  <c r="O10" i="6"/>
  <c r="O5" i="6"/>
  <c r="O8" i="6"/>
  <c r="C17" i="6"/>
  <c r="C4" i="6"/>
  <c r="C24" i="6"/>
  <c r="C25" i="6"/>
  <c r="C26" i="6"/>
  <c r="C23" i="6"/>
  <c r="C5" i="6"/>
  <c r="C18" i="6"/>
  <c r="C12" i="6"/>
  <c r="C15" i="6"/>
  <c r="C20" i="6"/>
  <c r="C9" i="6"/>
  <c r="C22" i="6"/>
  <c r="C13" i="6"/>
  <c r="C16" i="6"/>
  <c r="C10" i="6"/>
  <c r="C21" i="6"/>
  <c r="C19" i="6"/>
  <c r="C8" i="6"/>
  <c r="C14" i="6"/>
  <c r="C11" i="6"/>
  <c r="C7" i="6"/>
  <c r="L5" i="6"/>
  <c r="X5" i="6"/>
  <c r="X5" i="10"/>
  <c r="O14" i="10" s="1"/>
  <c r="O4" i="10"/>
  <c r="O8" i="10"/>
  <c r="O7" i="10"/>
  <c r="O6" i="10"/>
  <c r="O9" i="10"/>
  <c r="O5" i="10"/>
  <c r="O10" i="10"/>
  <c r="AE4" i="10"/>
  <c r="C4" i="10"/>
  <c r="AE10" i="10"/>
  <c r="C13" i="10"/>
  <c r="AE12" i="10"/>
  <c r="C15" i="10"/>
  <c r="C22" i="10"/>
  <c r="AE6" i="10"/>
  <c r="C7" i="10"/>
  <c r="AE20" i="10"/>
  <c r="C9" i="10"/>
  <c r="AE21" i="10"/>
  <c r="AE7" i="10"/>
  <c r="C8" i="10"/>
  <c r="AE5" i="10"/>
  <c r="C6" i="10"/>
  <c r="AE14" i="10"/>
  <c r="C17" i="10"/>
  <c r="AE11" i="10"/>
  <c r="C14" i="10"/>
  <c r="AE13" i="10"/>
  <c r="C16" i="10"/>
  <c r="AE17" i="10"/>
  <c r="C21" i="10"/>
  <c r="AE19" i="10"/>
  <c r="C19" i="10"/>
  <c r="C5" i="10"/>
  <c r="AE15" i="10"/>
  <c r="C18" i="10"/>
  <c r="AE16" i="10"/>
  <c r="C20" i="10"/>
  <c r="AE8" i="10"/>
  <c r="C11" i="10"/>
  <c r="AE9" i="10"/>
  <c r="C12" i="10"/>
  <c r="AE22" i="10"/>
  <c r="AE18" i="10"/>
  <c r="C23" i="10"/>
  <c r="C10" i="10"/>
  <c r="L5" i="10"/>
  <c r="C24" i="10" s="1"/>
  <c r="AF21" i="19"/>
  <c r="AF22" i="19"/>
  <c r="AF21" i="18"/>
  <c r="AF22" i="18"/>
  <c r="AF22" i="17"/>
  <c r="AF21" i="17"/>
  <c r="AF22" i="16"/>
  <c r="AF21" i="16"/>
  <c r="AF22" i="15"/>
  <c r="I63" i="24" s="1"/>
  <c r="AF29" i="17"/>
  <c r="AF27" i="23"/>
  <c r="AF35" i="20"/>
  <c r="AF32" i="20"/>
  <c r="AF35" i="19"/>
  <c r="AF32" i="19"/>
  <c r="AF32" i="18"/>
  <c r="AF35" i="18"/>
  <c r="AF35" i="17"/>
  <c r="AF32" i="17"/>
  <c r="AF35" i="16"/>
  <c r="AF32" i="16"/>
  <c r="AF36" i="14"/>
  <c r="H89" i="24" s="1"/>
  <c r="AF36" i="11"/>
  <c r="AF26" i="23"/>
  <c r="AF28" i="23"/>
  <c r="AF25" i="23"/>
  <c r="AF28" i="22"/>
  <c r="AF27" i="22"/>
  <c r="AF26" i="22"/>
  <c r="AF25" i="22"/>
  <c r="AF25" i="21"/>
  <c r="AF26" i="21"/>
  <c r="AF27" i="21"/>
  <c r="AF28" i="21"/>
  <c r="AF8" i="20"/>
  <c r="AF12" i="20"/>
  <c r="AF4" i="20"/>
  <c r="AF18" i="20"/>
  <c r="AF5" i="20"/>
  <c r="AF29" i="20"/>
  <c r="AF27" i="20"/>
  <c r="AF30" i="20"/>
  <c r="AF14" i="20"/>
  <c r="AF9" i="20"/>
  <c r="AF16" i="20"/>
  <c r="AF6" i="20"/>
  <c r="AF28" i="20"/>
  <c r="AF29" i="19"/>
  <c r="AF30" i="19"/>
  <c r="AF27" i="19"/>
  <c r="AF28" i="19"/>
  <c r="AE19" i="18"/>
  <c r="AE15" i="18"/>
  <c r="AE7" i="18"/>
  <c r="AF29" i="18"/>
  <c r="AF28" i="18"/>
  <c r="AF30" i="18"/>
  <c r="AE11" i="18"/>
  <c r="AF27" i="18"/>
  <c r="AE18" i="18"/>
  <c r="AF27" i="17"/>
  <c r="AF28" i="17"/>
  <c r="AF30" i="17"/>
  <c r="AF29" i="16"/>
  <c r="AF28" i="16"/>
  <c r="AF27" i="16"/>
  <c r="AF34" i="14"/>
  <c r="H82" i="24" s="1"/>
  <c r="AF35" i="14"/>
  <c r="H84" i="24" s="1"/>
  <c r="Z20" i="13"/>
  <c r="Z4" i="15" l="1"/>
  <c r="Z12" i="15"/>
  <c r="Z14" i="15"/>
  <c r="Z13" i="15"/>
  <c r="AF13" i="15" s="1"/>
  <c r="I59" i="24" s="1"/>
  <c r="Z10" i="15"/>
  <c r="AF10" i="15" s="1"/>
  <c r="I58" i="24" s="1"/>
  <c r="Z7" i="15"/>
  <c r="AF7" i="15" s="1"/>
  <c r="I65" i="24" s="1"/>
  <c r="Z17" i="15"/>
  <c r="Z11" i="15"/>
  <c r="AF11" i="15" s="1"/>
  <c r="I56" i="24" s="1"/>
  <c r="Z8" i="15"/>
  <c r="Z6" i="15"/>
  <c r="AF6" i="15" s="1"/>
  <c r="I68" i="24" s="1"/>
  <c r="Z18" i="15"/>
  <c r="AF18" i="15" s="1"/>
  <c r="I71" i="24" s="1"/>
  <c r="Z16" i="15"/>
  <c r="AF16" i="15" s="1"/>
  <c r="I60" i="24" s="1"/>
  <c r="Z5" i="15"/>
  <c r="AF5" i="15" s="1"/>
  <c r="I54" i="24" s="1"/>
  <c r="Z19" i="15"/>
  <c r="AF19" i="15" s="1"/>
  <c r="I64" i="24" s="1"/>
  <c r="Z15" i="15"/>
  <c r="AF15" i="15" s="1"/>
  <c r="I72" i="24" s="1"/>
  <c r="Z9" i="15"/>
  <c r="AF9" i="15" s="1"/>
  <c r="I55" i="24" s="1"/>
  <c r="Z34" i="15"/>
  <c r="AF34" i="15" s="1"/>
  <c r="I86" i="24" s="1"/>
  <c r="Z28" i="15"/>
  <c r="AF28" i="15" s="1"/>
  <c r="I81" i="24" s="1"/>
  <c r="Z30" i="15"/>
  <c r="AF30" i="15" s="1"/>
  <c r="I84" i="24" s="1"/>
  <c r="Z27" i="15"/>
  <c r="AF27" i="15" s="1"/>
  <c r="I80" i="24" s="1"/>
  <c r="Z31" i="15"/>
  <c r="AF31" i="15" s="1"/>
  <c r="I82" i="24" s="1"/>
  <c r="Z36" i="15"/>
  <c r="AF36" i="15" s="1"/>
  <c r="I89" i="24" s="1"/>
  <c r="Z35" i="15"/>
  <c r="AF35" i="15" s="1"/>
  <c r="I83" i="24" s="1"/>
  <c r="Z33" i="15"/>
  <c r="AF33" i="15" s="1"/>
  <c r="Z29" i="15"/>
  <c r="AF29" i="15" s="1"/>
  <c r="I85" i="24" s="1"/>
  <c r="Z32" i="15"/>
  <c r="AF32" i="15" s="1"/>
  <c r="I87" i="24" s="1"/>
  <c r="Z27" i="14"/>
  <c r="AF27" i="14" s="1"/>
  <c r="H81" i="24" s="1"/>
  <c r="Z7" i="14"/>
  <c r="Z14" i="14"/>
  <c r="Z29" i="14"/>
  <c r="AF29" i="14" s="1"/>
  <c r="H87" i="24" s="1"/>
  <c r="Z30" i="14"/>
  <c r="AF30" i="14" s="1"/>
  <c r="Z31" i="14"/>
  <c r="AF31" i="14" s="1"/>
  <c r="H85" i="24" s="1"/>
  <c r="Z32" i="14"/>
  <c r="AF32" i="14" s="1"/>
  <c r="H83" i="24" s="1"/>
  <c r="Z28" i="14"/>
  <c r="AF28" i="14" s="1"/>
  <c r="H80" i="24" s="1"/>
  <c r="Z33" i="14"/>
  <c r="AF33" i="14" s="1"/>
  <c r="H86" i="24" s="1"/>
  <c r="Z13" i="14"/>
  <c r="AF13" i="14" s="1"/>
  <c r="H68" i="24" s="1"/>
  <c r="Z17" i="14"/>
  <c r="O13" i="14"/>
  <c r="O14" i="14"/>
  <c r="O15" i="14"/>
  <c r="Z15" i="14"/>
  <c r="Z11" i="14"/>
  <c r="AF11" i="14" s="1"/>
  <c r="H63" i="24" s="1"/>
  <c r="Z16" i="14"/>
  <c r="AF16" i="14" s="1"/>
  <c r="H62" i="24" s="1"/>
  <c r="Z8" i="14"/>
  <c r="AF8" i="14" s="1"/>
  <c r="H61" i="24" s="1"/>
  <c r="Z6" i="14"/>
  <c r="Z22" i="14"/>
  <c r="Z21" i="14"/>
  <c r="Z12" i="14"/>
  <c r="AF12" i="14" s="1"/>
  <c r="H56" i="24" s="1"/>
  <c r="Z4" i="14"/>
  <c r="Z9" i="14"/>
  <c r="AF9" i="14" s="1"/>
  <c r="H54" i="24" s="1"/>
  <c r="Z10" i="14"/>
  <c r="AF10" i="14" s="1"/>
  <c r="H55" i="24" s="1"/>
  <c r="Z19" i="14"/>
  <c r="AF19" i="14" s="1"/>
  <c r="H67" i="24" s="1"/>
  <c r="Z18" i="14"/>
  <c r="Z5" i="14"/>
  <c r="Z20" i="14"/>
  <c r="Z16" i="13"/>
  <c r="C23" i="13"/>
  <c r="C24" i="13"/>
  <c r="Z17" i="13"/>
  <c r="Z12" i="13"/>
  <c r="AF12" i="13" s="1"/>
  <c r="G62" i="24" s="1"/>
  <c r="C22" i="13"/>
  <c r="Z8" i="13"/>
  <c r="AF8" i="13" s="1"/>
  <c r="G63" i="24" s="1"/>
  <c r="Z7" i="13"/>
  <c r="AF7" i="13" s="1"/>
  <c r="G60" i="24" s="1"/>
  <c r="Z6" i="13"/>
  <c r="AF6" i="13" s="1"/>
  <c r="G61" i="24" s="1"/>
  <c r="Z27" i="13"/>
  <c r="AF27" i="13" s="1"/>
  <c r="G80" i="24" s="1"/>
  <c r="Z36" i="13"/>
  <c r="AF36" i="13" s="1"/>
  <c r="Z31" i="13"/>
  <c r="AF31" i="13" s="1"/>
  <c r="G83" i="24" s="1"/>
  <c r="Z28" i="13"/>
  <c r="AF28" i="13" s="1"/>
  <c r="G82" i="24" s="1"/>
  <c r="Z33" i="13"/>
  <c r="AF33" i="13" s="1"/>
  <c r="G85" i="24" s="1"/>
  <c r="Z29" i="13"/>
  <c r="AF29" i="13" s="1"/>
  <c r="G81" i="24" s="1"/>
  <c r="Z34" i="13"/>
  <c r="AF34" i="13" s="1"/>
  <c r="G89" i="24" s="1"/>
  <c r="Z32" i="13"/>
  <c r="AF32" i="13" s="1"/>
  <c r="G86" i="24" s="1"/>
  <c r="Z35" i="13"/>
  <c r="AF35" i="13" s="1"/>
  <c r="G84" i="24" s="1"/>
  <c r="Z30" i="13"/>
  <c r="AF30" i="13" s="1"/>
  <c r="G87" i="24" s="1"/>
  <c r="Z31" i="12"/>
  <c r="Z27" i="12"/>
  <c r="O19" i="12"/>
  <c r="O18" i="12"/>
  <c r="O17" i="12"/>
  <c r="Z28" i="12"/>
  <c r="Z30" i="12"/>
  <c r="AF30" i="12" s="1"/>
  <c r="Z33" i="12"/>
  <c r="AF33" i="12" s="1"/>
  <c r="Z9" i="12"/>
  <c r="AF9" i="12" s="1"/>
  <c r="Z15" i="12"/>
  <c r="Z7" i="12"/>
  <c r="Z6" i="12"/>
  <c r="Z21" i="12"/>
  <c r="Z12" i="12"/>
  <c r="Z16" i="12"/>
  <c r="Z19" i="12"/>
  <c r="AF19" i="12" s="1"/>
  <c r="Z18" i="12"/>
  <c r="AF18" i="12" s="1"/>
  <c r="Z17" i="12"/>
  <c r="AF17" i="12" s="1"/>
  <c r="Z11" i="12"/>
  <c r="AF11" i="12" s="1"/>
  <c r="Z14" i="12"/>
  <c r="AF14" i="12" s="1"/>
  <c r="Z10" i="12"/>
  <c r="AF10" i="12" s="1"/>
  <c r="Z13" i="12"/>
  <c r="AF13" i="12" s="1"/>
  <c r="Z8" i="12"/>
  <c r="AF8" i="12" s="1"/>
  <c r="Z4" i="12"/>
  <c r="AF4" i="12" s="1"/>
  <c r="Z5" i="12"/>
  <c r="AF5" i="12" s="1"/>
  <c r="Z11" i="13"/>
  <c r="AF11" i="13" s="1"/>
  <c r="G65" i="24" s="1"/>
  <c r="Z15" i="13"/>
  <c r="Z14" i="13"/>
  <c r="AF14" i="13" s="1"/>
  <c r="G68" i="24" s="1"/>
  <c r="Z13" i="13"/>
  <c r="AF13" i="13" s="1"/>
  <c r="G64" i="24" s="1"/>
  <c r="Z10" i="13"/>
  <c r="AF10" i="13" s="1"/>
  <c r="G54" i="24" s="1"/>
  <c r="Z18" i="13"/>
  <c r="Z9" i="13"/>
  <c r="AF9" i="13" s="1"/>
  <c r="G56" i="24" s="1"/>
  <c r="Z5" i="13"/>
  <c r="AF5" i="13" s="1"/>
  <c r="G55" i="24" s="1"/>
  <c r="Z4" i="13"/>
  <c r="AF4" i="13" s="1"/>
  <c r="G57" i="24" s="1"/>
  <c r="AF36" i="12"/>
  <c r="AF28" i="12"/>
  <c r="AF29" i="12"/>
  <c r="AF35" i="12"/>
  <c r="AF34" i="12"/>
  <c r="AF27" i="12"/>
  <c r="AF32" i="12"/>
  <c r="AF31" i="12"/>
  <c r="O13" i="6"/>
  <c r="O14" i="6"/>
  <c r="Z10" i="11"/>
  <c r="Z20" i="11"/>
  <c r="Z6" i="11"/>
  <c r="Z12" i="11"/>
  <c r="Z16" i="11"/>
  <c r="Z17" i="11"/>
  <c r="Z8" i="11"/>
  <c r="Z19" i="11"/>
  <c r="AF19" i="11" s="1"/>
  <c r="Z5" i="11"/>
  <c r="AF5" i="11" s="1"/>
  <c r="Z9" i="11"/>
  <c r="AF9" i="11" s="1"/>
  <c r="Z4" i="11"/>
  <c r="AF4" i="11" s="1"/>
  <c r="Z7" i="11"/>
  <c r="Z11" i="11"/>
  <c r="Z5" i="10"/>
  <c r="Z10" i="10"/>
  <c r="Z15" i="10"/>
  <c r="AF15" i="10" s="1"/>
  <c r="AL15" i="10" s="1"/>
  <c r="Z18" i="10"/>
  <c r="AF18" i="10" s="1"/>
  <c r="AL18" i="10" s="1"/>
  <c r="Z17" i="10"/>
  <c r="Z9" i="10"/>
  <c r="Z13" i="10"/>
  <c r="O12" i="10"/>
  <c r="Z8" i="10"/>
  <c r="AF8" i="10" s="1"/>
  <c r="AL8" i="10" s="1"/>
  <c r="Z6" i="10"/>
  <c r="AF6" i="10" s="1"/>
  <c r="AL6" i="10" s="1"/>
  <c r="Z11" i="10"/>
  <c r="AF11" i="10" s="1"/>
  <c r="AL11" i="10" s="1"/>
  <c r="Z16" i="10"/>
  <c r="AF16" i="10" s="1"/>
  <c r="AL16" i="10" s="1"/>
  <c r="Z14" i="10"/>
  <c r="Z12" i="10"/>
  <c r="O11" i="10"/>
  <c r="Z7" i="10"/>
  <c r="AF7" i="10" s="1"/>
  <c r="AL7" i="10" s="1"/>
  <c r="O13" i="10"/>
  <c r="Z4" i="10"/>
  <c r="AF4" i="10" s="1"/>
  <c r="AL4" i="10" s="1"/>
  <c r="C27" i="6"/>
  <c r="C28" i="6"/>
  <c r="C29" i="6"/>
  <c r="C30" i="6"/>
  <c r="AF18" i="6"/>
  <c r="AF27" i="6"/>
  <c r="AF30" i="6"/>
  <c r="AF15" i="6"/>
  <c r="AF7" i="6"/>
  <c r="AF14" i="6"/>
  <c r="AF31" i="6"/>
  <c r="AF4" i="6"/>
  <c r="AF11" i="6"/>
  <c r="AF5" i="6"/>
  <c r="AF6" i="6"/>
  <c r="AF29" i="6"/>
  <c r="AJ34" i="6" s="1"/>
  <c r="AF20" i="6"/>
  <c r="AF10" i="6"/>
  <c r="AF17" i="6"/>
  <c r="AF35" i="6"/>
  <c r="AJ35" i="6" s="1"/>
  <c r="AK36" i="11" s="1"/>
  <c r="AJ36" i="11" s="1"/>
  <c r="AK36" i="12" s="1"/>
  <c r="AJ36" i="12" s="1"/>
  <c r="AF19" i="6"/>
  <c r="AF33" i="6"/>
  <c r="AF13" i="6"/>
  <c r="AF28" i="6"/>
  <c r="AF34" i="6"/>
  <c r="AF8" i="6"/>
  <c r="AF12" i="6"/>
  <c r="AF32" i="6"/>
  <c r="AF9" i="6"/>
  <c r="AF16" i="6"/>
  <c r="AF27" i="10"/>
  <c r="C25" i="10"/>
  <c r="C27" i="10"/>
  <c r="C26" i="10"/>
  <c r="AF10" i="10"/>
  <c r="AL10" i="10" s="1"/>
  <c r="AF28" i="10"/>
  <c r="AL28" i="10" s="1"/>
  <c r="AF29" i="10"/>
  <c r="AL29" i="10" s="1"/>
  <c r="AF5" i="10"/>
  <c r="AL5" i="10" s="1"/>
  <c r="AF17" i="10"/>
  <c r="AL17" i="10" s="1"/>
  <c r="AF13" i="10"/>
  <c r="AL13" i="10" s="1"/>
  <c r="AF30" i="10"/>
  <c r="AL30" i="10" s="1"/>
  <c r="AF12" i="10"/>
  <c r="AL12" i="10" s="1"/>
  <c r="AF32" i="10"/>
  <c r="AF33" i="10"/>
  <c r="AF14" i="10"/>
  <c r="AL14" i="10" s="1"/>
  <c r="AF31" i="10"/>
  <c r="AF30" i="11"/>
  <c r="AF31" i="11"/>
  <c r="AF29" i="11"/>
  <c r="AF27" i="11"/>
  <c r="AF34" i="11"/>
  <c r="AF32" i="11"/>
  <c r="AF28" i="11"/>
  <c r="AF35" i="11"/>
  <c r="AF7" i="11"/>
  <c r="AF14" i="11"/>
  <c r="AF18" i="11"/>
  <c r="AF10" i="11"/>
  <c r="AF13" i="11"/>
  <c r="AF20" i="11"/>
  <c r="AF15" i="11"/>
  <c r="AF11" i="11"/>
  <c r="AF12" i="11"/>
  <c r="AF8" i="11"/>
  <c r="AF16" i="11"/>
  <c r="AF6" i="11"/>
  <c r="AF5" i="22"/>
  <c r="AF18" i="23"/>
  <c r="AF36" i="6"/>
  <c r="AJ36" i="6" s="1"/>
  <c r="AK35" i="11" s="1"/>
  <c r="AF17" i="14"/>
  <c r="H66" i="24" s="1"/>
  <c r="AF5" i="16"/>
  <c r="AF7" i="18"/>
  <c r="AF18" i="21"/>
  <c r="AF8" i="21"/>
  <c r="AF7" i="22"/>
  <c r="AF15" i="19"/>
  <c r="AF6" i="18"/>
  <c r="AF18" i="18"/>
  <c r="AF15" i="17"/>
  <c r="AF14" i="16"/>
  <c r="AF4" i="16"/>
  <c r="AF20" i="16"/>
  <c r="AF16" i="16"/>
  <c r="AF19" i="16"/>
  <c r="AF7" i="16"/>
  <c r="AF14" i="15"/>
  <c r="I70" i="24" s="1"/>
  <c r="AF14" i="14"/>
  <c r="H69" i="24" s="1"/>
  <c r="AF7" i="14"/>
  <c r="H59" i="24" s="1"/>
  <c r="AF19" i="13"/>
  <c r="G71" i="24" s="1"/>
  <c r="AF20" i="13"/>
  <c r="G67" i="24" s="1"/>
  <c r="AF16" i="23"/>
  <c r="AF4" i="23"/>
  <c r="AF19" i="23"/>
  <c r="AF22" i="10"/>
  <c r="AL21" i="10" s="1"/>
  <c r="AF20" i="10"/>
  <c r="AL20" i="10" s="1"/>
  <c r="AF21" i="10"/>
  <c r="AL19" i="10" s="1"/>
  <c r="AF7" i="23"/>
  <c r="AF15" i="23"/>
  <c r="AF5" i="23"/>
  <c r="AF11" i="23"/>
  <c r="AF10" i="23"/>
  <c r="AF6" i="23"/>
  <c r="AF14" i="23"/>
  <c r="AF12" i="23"/>
  <c r="AF9" i="23"/>
  <c r="AF13" i="23"/>
  <c r="AF17" i="23"/>
  <c r="AF8" i="23"/>
  <c r="AF13" i="22"/>
  <c r="AF19" i="22"/>
  <c r="AF11" i="22"/>
  <c r="AF16" i="22"/>
  <c r="AF10" i="22"/>
  <c r="AF14" i="22"/>
  <c r="AF18" i="22"/>
  <c r="AF8" i="22"/>
  <c r="AF15" i="22"/>
  <c r="AF12" i="22"/>
  <c r="AF9" i="22"/>
  <c r="AF17" i="22"/>
  <c r="AF6" i="22"/>
  <c r="AF4" i="22"/>
  <c r="AF5" i="21"/>
  <c r="AF12" i="21"/>
  <c r="AF13" i="21"/>
  <c r="AF19" i="21"/>
  <c r="AF4" i="21"/>
  <c r="AF17" i="21"/>
  <c r="AF7" i="21"/>
  <c r="AF6" i="21"/>
  <c r="AF16" i="21"/>
  <c r="AF9" i="21"/>
  <c r="AF15" i="21"/>
  <c r="AF11" i="21"/>
  <c r="AF10" i="21"/>
  <c r="AF14" i="21"/>
  <c r="AF17" i="20"/>
  <c r="AF19" i="20"/>
  <c r="AF11" i="20"/>
  <c r="AF7" i="20"/>
  <c r="AF10" i="20"/>
  <c r="AF15" i="20"/>
  <c r="AF13" i="20"/>
  <c r="AF20" i="19"/>
  <c r="AF17" i="19"/>
  <c r="AF7" i="19"/>
  <c r="AF4" i="19"/>
  <c r="AF18" i="19"/>
  <c r="AF11" i="19"/>
  <c r="AF14" i="19"/>
  <c r="AF5" i="19"/>
  <c r="AF16" i="19"/>
  <c r="AF9" i="19"/>
  <c r="AF10" i="19"/>
  <c r="AF6" i="19"/>
  <c r="AF8" i="19"/>
  <c r="AF19" i="19"/>
  <c r="AF12" i="19"/>
  <c r="AF13" i="19"/>
  <c r="AF13" i="18"/>
  <c r="AF14" i="18"/>
  <c r="AF10" i="18"/>
  <c r="AF9" i="18"/>
  <c r="AF17" i="18"/>
  <c r="AF5" i="18"/>
  <c r="AF8" i="18"/>
  <c r="AF15" i="18"/>
  <c r="AF4" i="18"/>
  <c r="AF12" i="18"/>
  <c r="AF16" i="18"/>
  <c r="AF19" i="18"/>
  <c r="AF11" i="18"/>
  <c r="AF20" i="18"/>
  <c r="AF11" i="17"/>
  <c r="AF20" i="17"/>
  <c r="AF16" i="17"/>
  <c r="AF13" i="17"/>
  <c r="AF12" i="17"/>
  <c r="AF9" i="17"/>
  <c r="AF17" i="17"/>
  <c r="AF10" i="17"/>
  <c r="AF8" i="17"/>
  <c r="AF7" i="17"/>
  <c r="AF19" i="17"/>
  <c r="AF6" i="17"/>
  <c r="AF4" i="17"/>
  <c r="AF5" i="17"/>
  <c r="AF14" i="17"/>
  <c r="AF18" i="17"/>
  <c r="AF13" i="16"/>
  <c r="AF18" i="16"/>
  <c r="AF9" i="16"/>
  <c r="AF6" i="16"/>
  <c r="AF12" i="16"/>
  <c r="AF8" i="16"/>
  <c r="AF17" i="16"/>
  <c r="AF10" i="16"/>
  <c r="AF11" i="16"/>
  <c r="AF15" i="16"/>
  <c r="AF12" i="15"/>
  <c r="I66" i="24" s="1"/>
  <c r="AF8" i="15"/>
  <c r="I61" i="24" s="1"/>
  <c r="AF21" i="15"/>
  <c r="I67" i="24" s="1"/>
  <c r="AF20" i="15"/>
  <c r="I69" i="24" s="1"/>
  <c r="AF4" i="15"/>
  <c r="I57" i="24" s="1"/>
  <c r="AF17" i="15"/>
  <c r="I62" i="24" s="1"/>
  <c r="AF21" i="14"/>
  <c r="H70" i="24" s="1"/>
  <c r="AF15" i="14"/>
  <c r="H64" i="24" s="1"/>
  <c r="AF18" i="14"/>
  <c r="H71" i="24" s="1"/>
  <c r="AF4" i="14"/>
  <c r="H57" i="24" s="1"/>
  <c r="AF22" i="14"/>
  <c r="H72" i="24" s="1"/>
  <c r="AF5" i="14"/>
  <c r="H58" i="24" s="1"/>
  <c r="AF20" i="14"/>
  <c r="H60" i="24" s="1"/>
  <c r="AF6" i="14"/>
  <c r="H65" i="24" s="1"/>
  <c r="AF16" i="13"/>
  <c r="G59" i="24" s="1"/>
  <c r="AF15" i="13"/>
  <c r="G66" i="24" s="1"/>
  <c r="AF22" i="13"/>
  <c r="G69" i="24" s="1"/>
  <c r="AF18" i="13"/>
  <c r="G58" i="24" s="1"/>
  <c r="AF21" i="13"/>
  <c r="G70" i="24" s="1"/>
  <c r="AF17" i="13"/>
  <c r="G72" i="24" s="1"/>
  <c r="AF21" i="12"/>
  <c r="AF16" i="12"/>
  <c r="AF6" i="12"/>
  <c r="AF22" i="12"/>
  <c r="AF12" i="12"/>
  <c r="AF20" i="12"/>
  <c r="AF15" i="12"/>
  <c r="AF7" i="12"/>
  <c r="AF22" i="11"/>
  <c r="AF17" i="11"/>
  <c r="AF19" i="10"/>
  <c r="AL22" i="10" s="1"/>
  <c r="AF22" i="6"/>
  <c r="AF21" i="6"/>
  <c r="R87" i="24" l="1"/>
  <c r="R84" i="24"/>
  <c r="R59" i="24"/>
  <c r="R82" i="24"/>
  <c r="R89" i="24"/>
  <c r="R83" i="24"/>
  <c r="R81" i="24"/>
  <c r="R80" i="24"/>
  <c r="S88" i="24" s="1"/>
  <c r="R86" i="24"/>
  <c r="R85" i="24"/>
  <c r="R68" i="24"/>
  <c r="R63" i="24"/>
  <c r="R70" i="24"/>
  <c r="R72" i="24"/>
  <c r="R58" i="24"/>
  <c r="R69" i="24"/>
  <c r="R66" i="24"/>
  <c r="R57" i="24"/>
  <c r="R65" i="24"/>
  <c r="R62" i="24"/>
  <c r="R64" i="24"/>
  <c r="R55" i="24"/>
  <c r="R67" i="24"/>
  <c r="R56" i="24"/>
  <c r="R60" i="24"/>
  <c r="R71" i="24"/>
  <c r="R54" i="24"/>
  <c r="R61" i="24"/>
  <c r="AL31" i="10"/>
  <c r="AK33" i="6" s="1"/>
  <c r="AJ33" i="6" s="1"/>
  <c r="AK34" i="11" s="1"/>
  <c r="AJ34" i="11" s="1"/>
  <c r="AL33" i="10"/>
  <c r="AK32" i="6" s="1"/>
  <c r="AJ32" i="6" s="1"/>
  <c r="AK32" i="11" s="1"/>
  <c r="AJ32" i="11" s="1"/>
  <c r="AL27" i="10"/>
  <c r="AK27" i="6" s="1"/>
  <c r="AJ27" i="6" s="1"/>
  <c r="AL32" i="10"/>
  <c r="AK31" i="6" s="1"/>
  <c r="AJ31" i="6" s="1"/>
  <c r="AK31" i="11" s="1"/>
  <c r="AJ31" i="11" s="1"/>
  <c r="AJ35" i="11"/>
  <c r="AK35" i="12" s="1"/>
  <c r="AJ35" i="12" s="1"/>
  <c r="AK36" i="13"/>
  <c r="AJ36" i="13" s="1"/>
  <c r="AF9" i="10"/>
  <c r="AL9" i="10" s="1"/>
  <c r="AK30" i="6"/>
  <c r="AK28" i="6"/>
  <c r="AK29" i="6"/>
  <c r="S87" i="24" l="1"/>
  <c r="S72" i="24"/>
  <c r="S55" i="24"/>
  <c r="S80" i="24"/>
  <c r="S84" i="24"/>
  <c r="S89" i="24"/>
  <c r="S65" i="24"/>
  <c r="S86" i="24"/>
  <c r="S82" i="24"/>
  <c r="S67" i="24"/>
  <c r="S68" i="24"/>
  <c r="S81" i="24"/>
  <c r="S64" i="24"/>
  <c r="S70" i="24"/>
  <c r="S61" i="24"/>
  <c r="S54" i="24"/>
  <c r="S58" i="24"/>
  <c r="S59" i="24"/>
  <c r="S71" i="24"/>
  <c r="S66" i="24"/>
  <c r="S60" i="24"/>
  <c r="S63" i="24"/>
  <c r="S57" i="24"/>
  <c r="S62" i="24"/>
  <c r="S56" i="24"/>
  <c r="S69" i="24"/>
  <c r="S83" i="24"/>
  <c r="S85" i="24"/>
  <c r="AK35" i="13"/>
  <c r="AJ35" i="13" s="1"/>
  <c r="AJ28" i="6"/>
  <c r="AJ30" i="6"/>
  <c r="AK30" i="11" s="1"/>
  <c r="AJ30" i="11" s="1"/>
  <c r="AK27" i="11"/>
  <c r="AJ27" i="11" s="1"/>
  <c r="AK30" i="12"/>
  <c r="AJ30" i="12" s="1"/>
  <c r="AK33" i="12"/>
  <c r="AJ33" i="12" s="1"/>
  <c r="AK34" i="12"/>
  <c r="AJ34" i="12" s="1"/>
  <c r="AK36" i="14"/>
  <c r="AH35" i="10"/>
  <c r="AJ35" i="10" s="1"/>
  <c r="C40" i="24" s="1"/>
  <c r="AH31" i="10"/>
  <c r="AJ31" i="10" s="1"/>
  <c r="C36" i="24" s="1"/>
  <c r="AH33" i="10"/>
  <c r="AJ33" i="10" s="1"/>
  <c r="C38" i="24" s="1"/>
  <c r="AH34" i="10"/>
  <c r="AJ34" i="10" s="1"/>
  <c r="C39" i="24" s="1"/>
  <c r="AH32" i="10"/>
  <c r="AJ32" i="10" s="1"/>
  <c r="C37" i="24" s="1"/>
  <c r="AH36" i="10"/>
  <c r="AJ36" i="10" s="1"/>
  <c r="C41" i="24" s="1"/>
  <c r="AH27" i="10"/>
  <c r="AJ27" i="10" s="1"/>
  <c r="C32" i="24" s="1"/>
  <c r="AJ29" i="6"/>
  <c r="AK29" i="11" s="1"/>
  <c r="AJ29" i="11" s="1"/>
  <c r="AK33" i="11"/>
  <c r="AJ33" i="11" s="1"/>
  <c r="AK32" i="12" s="1"/>
  <c r="AJ32" i="12" s="1"/>
  <c r="AH29" i="10"/>
  <c r="AJ29" i="10" s="1"/>
  <c r="C34" i="24" s="1"/>
  <c r="AH30" i="10"/>
  <c r="AJ30" i="10" s="1"/>
  <c r="C35" i="24" s="1"/>
  <c r="AH28" i="10"/>
  <c r="AJ28" i="10" s="1"/>
  <c r="C33" i="24" s="1"/>
  <c r="AK34" i="14" l="1"/>
  <c r="AJ34" i="14" s="1"/>
  <c r="AK27" i="12"/>
  <c r="AJ27" i="12" s="1"/>
  <c r="AK34" i="13"/>
  <c r="AJ34" i="13" s="1"/>
  <c r="AH35" i="6"/>
  <c r="AL35" i="6" s="1"/>
  <c r="D40" i="24" s="1"/>
  <c r="AH33" i="6"/>
  <c r="AL33" i="6" s="1"/>
  <c r="D36" i="24" s="1"/>
  <c r="AH28" i="6"/>
  <c r="AL28" i="6" s="1"/>
  <c r="D34" i="24" s="1"/>
  <c r="AH32" i="6"/>
  <c r="AL32" i="6" s="1"/>
  <c r="D38" i="24" s="1"/>
  <c r="AH36" i="6"/>
  <c r="AL36" i="6" s="1"/>
  <c r="D39" i="24" s="1"/>
  <c r="AH34" i="6"/>
  <c r="AL34" i="6" s="1"/>
  <c r="D41" i="24" s="1"/>
  <c r="AH31" i="6"/>
  <c r="AL31" i="6" s="1"/>
  <c r="D37" i="24" s="1"/>
  <c r="AJ36" i="14"/>
  <c r="AK33" i="13"/>
  <c r="AJ33" i="13" s="1"/>
  <c r="AK32" i="13"/>
  <c r="AJ32" i="13" s="1"/>
  <c r="AK30" i="13"/>
  <c r="AJ30" i="13" s="1"/>
  <c r="AH30" i="6"/>
  <c r="AL30" i="6" s="1"/>
  <c r="D35" i="24" s="1"/>
  <c r="AK31" i="12"/>
  <c r="AJ31" i="12" s="1"/>
  <c r="AK28" i="11"/>
  <c r="AJ28" i="11" s="1"/>
  <c r="AH36" i="11" s="1"/>
  <c r="AL36" i="11" s="1"/>
  <c r="E40" i="24" s="1"/>
  <c r="AH29" i="6"/>
  <c r="AL29" i="6" s="1"/>
  <c r="D33" i="24" s="1"/>
  <c r="AH27" i="6"/>
  <c r="AL27" i="6" s="1"/>
  <c r="D32" i="24" s="1"/>
  <c r="AK28" i="13" l="1"/>
  <c r="AJ28" i="13" s="1"/>
  <c r="AH29" i="11"/>
  <c r="AL29" i="11" s="1"/>
  <c r="E33" i="24" s="1"/>
  <c r="AK28" i="12"/>
  <c r="AJ28" i="12" s="1"/>
  <c r="AH31" i="11"/>
  <c r="AL31" i="11" s="1"/>
  <c r="E37" i="24" s="1"/>
  <c r="AH32" i="11"/>
  <c r="AL32" i="11" s="1"/>
  <c r="E38" i="24" s="1"/>
  <c r="AH35" i="11"/>
  <c r="AL35" i="11" s="1"/>
  <c r="E39" i="24" s="1"/>
  <c r="AH34" i="11"/>
  <c r="AL34" i="11" s="1"/>
  <c r="E36" i="24" s="1"/>
  <c r="AK32" i="14"/>
  <c r="AJ32" i="14" s="1"/>
  <c r="AK36" i="15"/>
  <c r="AJ36" i="15" s="1"/>
  <c r="AK34" i="15"/>
  <c r="AJ34" i="15" s="1"/>
  <c r="AK30" i="14"/>
  <c r="AK31" i="14"/>
  <c r="AK33" i="14"/>
  <c r="AK29" i="12"/>
  <c r="AJ29" i="12" s="1"/>
  <c r="AH28" i="11"/>
  <c r="AH27" i="11"/>
  <c r="AH33" i="11"/>
  <c r="AK27" i="13"/>
  <c r="AJ27" i="13" s="1"/>
  <c r="AH30" i="11"/>
  <c r="AK31" i="13"/>
  <c r="AJ31" i="13" s="1"/>
  <c r="AK28" i="14" l="1"/>
  <c r="AJ28" i="14" s="1"/>
  <c r="AH34" i="12"/>
  <c r="AL34" i="12" s="1"/>
  <c r="F38" i="24" s="1"/>
  <c r="AH33" i="12"/>
  <c r="AL33" i="12" s="1"/>
  <c r="F36" i="24" s="1"/>
  <c r="AH30" i="12"/>
  <c r="AL30" i="12" s="1"/>
  <c r="F37" i="24" s="1"/>
  <c r="AH31" i="12"/>
  <c r="AL31" i="12" s="1"/>
  <c r="F35" i="24" s="1"/>
  <c r="AH35" i="12"/>
  <c r="AL35" i="12" s="1"/>
  <c r="F39" i="24" s="1"/>
  <c r="AH28" i="12"/>
  <c r="AL28" i="12" s="1"/>
  <c r="F34" i="24" s="1"/>
  <c r="AH36" i="12"/>
  <c r="AL36" i="12" s="1"/>
  <c r="F40" i="24" s="1"/>
  <c r="AH32" i="12"/>
  <c r="AL32" i="12" s="1"/>
  <c r="F41" i="24" s="1"/>
  <c r="AK33" i="15"/>
  <c r="AJ33" i="15" s="1"/>
  <c r="Q15" i="24"/>
  <c r="Q22" i="24"/>
  <c r="AK35" i="16"/>
  <c r="AJ35" i="16" s="1"/>
  <c r="AH35" i="16" s="1"/>
  <c r="AL35" i="16" s="1"/>
  <c r="AK17" i="21"/>
  <c r="AJ17" i="21" s="1"/>
  <c r="AK17" i="22" s="1"/>
  <c r="AJ17" i="22" s="1"/>
  <c r="AK17" i="23" s="1"/>
  <c r="AK34" i="16"/>
  <c r="AJ34" i="16" s="1"/>
  <c r="AH34" i="16" s="1"/>
  <c r="AL34" i="16" s="1"/>
  <c r="AJ33" i="14"/>
  <c r="AJ31" i="14"/>
  <c r="AK31" i="15" s="1"/>
  <c r="AJ31" i="15" s="1"/>
  <c r="AJ30" i="14"/>
  <c r="AL30" i="11"/>
  <c r="E35" i="24" s="1"/>
  <c r="AL33" i="11"/>
  <c r="E41" i="24" s="1"/>
  <c r="AL27" i="11"/>
  <c r="E32" i="24" s="1"/>
  <c r="AL28" i="11"/>
  <c r="E34" i="24" s="1"/>
  <c r="AK25" i="21"/>
  <c r="AJ25" i="21" s="1"/>
  <c r="AK25" i="22" s="1"/>
  <c r="AJ25" i="22" s="1"/>
  <c r="AK25" i="23" s="1"/>
  <c r="AJ25" i="23" s="1"/>
  <c r="AK35" i="14"/>
  <c r="AK27" i="14"/>
  <c r="AK29" i="13"/>
  <c r="AJ29" i="13" s="1"/>
  <c r="AH32" i="13" s="1"/>
  <c r="AL32" i="13" s="1"/>
  <c r="G36" i="24" s="1"/>
  <c r="AH29" i="12"/>
  <c r="AL29" i="12" s="1"/>
  <c r="F33" i="24" s="1"/>
  <c r="AH27" i="12"/>
  <c r="AL27" i="12" s="1"/>
  <c r="F32" i="24" s="1"/>
  <c r="AK28" i="15" l="1"/>
  <c r="AJ28" i="15" s="1"/>
  <c r="AH35" i="13"/>
  <c r="AL35" i="13" s="1"/>
  <c r="G39" i="24" s="1"/>
  <c r="AH30" i="13"/>
  <c r="AL30" i="13" s="1"/>
  <c r="G37" i="24" s="1"/>
  <c r="AH36" i="13"/>
  <c r="AL36" i="13" s="1"/>
  <c r="G40" i="24" s="1"/>
  <c r="AH34" i="13"/>
  <c r="AL34" i="13" s="1"/>
  <c r="G41" i="24" s="1"/>
  <c r="AH33" i="13"/>
  <c r="AL33" i="13" s="1"/>
  <c r="G38" i="24" s="1"/>
  <c r="AK36" i="16"/>
  <c r="AJ36" i="16" s="1"/>
  <c r="AH36" i="16" s="1"/>
  <c r="AL36" i="16" s="1"/>
  <c r="J41" i="24" s="1"/>
  <c r="J40" i="24"/>
  <c r="J39" i="24"/>
  <c r="Q19" i="24"/>
  <c r="Q12" i="24"/>
  <c r="AJ17" i="23"/>
  <c r="Q17" i="24"/>
  <c r="Q20" i="24"/>
  <c r="AK35" i="17"/>
  <c r="AJ35" i="17" s="1"/>
  <c r="AK35" i="18" s="1"/>
  <c r="AJ35" i="18" s="1"/>
  <c r="AK34" i="17"/>
  <c r="AJ34" i="17" s="1"/>
  <c r="AK34" i="18" s="1"/>
  <c r="AJ34" i="18" s="1"/>
  <c r="AK4" i="21"/>
  <c r="AJ4" i="21" s="1"/>
  <c r="AK4" i="22" s="1"/>
  <c r="AJ4" i="22" s="1"/>
  <c r="AK4" i="23" s="1"/>
  <c r="AK35" i="15"/>
  <c r="AJ35" i="15" s="1"/>
  <c r="AK30" i="15"/>
  <c r="AJ30" i="15" s="1"/>
  <c r="AK32" i="16" s="1"/>
  <c r="AJ32" i="16" s="1"/>
  <c r="AJ27" i="14"/>
  <c r="AK27" i="15" s="1"/>
  <c r="AJ27" i="15" s="1"/>
  <c r="AJ35" i="14"/>
  <c r="AK31" i="16"/>
  <c r="AJ31" i="16" s="1"/>
  <c r="AK29" i="14"/>
  <c r="AH28" i="13"/>
  <c r="AL28" i="13" s="1"/>
  <c r="AH29" i="13"/>
  <c r="AL29" i="13" s="1"/>
  <c r="G33" i="24" s="1"/>
  <c r="AH27" i="13"/>
  <c r="AL27" i="13" s="1"/>
  <c r="G34" i="24" s="1"/>
  <c r="AH31" i="13"/>
  <c r="AL31" i="13" s="1"/>
  <c r="G35" i="24" s="1"/>
  <c r="AK27" i="16" l="1"/>
  <c r="AJ27" i="16" s="1"/>
  <c r="AK27" i="17" s="1"/>
  <c r="AJ27" i="17" s="1"/>
  <c r="AK27" i="18" s="1"/>
  <c r="AJ27" i="18" s="1"/>
  <c r="AK27" i="19" s="1"/>
  <c r="AJ27" i="19" s="1"/>
  <c r="AK27" i="20" s="1"/>
  <c r="AJ27" i="20" s="1"/>
  <c r="AK36" i="17"/>
  <c r="AJ36" i="17" s="1"/>
  <c r="AH36" i="17" s="1"/>
  <c r="AL36" i="17" s="1"/>
  <c r="K41" i="24" s="1"/>
  <c r="AH35" i="17"/>
  <c r="AL35" i="17" s="1"/>
  <c r="K40" i="24" s="1"/>
  <c r="AH34" i="17"/>
  <c r="AL34" i="17" s="1"/>
  <c r="K39" i="24" s="1"/>
  <c r="Q8" i="24"/>
  <c r="AJ4" i="23"/>
  <c r="Q9" i="24"/>
  <c r="AK33" i="16"/>
  <c r="AJ33" i="16" s="1"/>
  <c r="AK33" i="17" s="1"/>
  <c r="AJ33" i="17" s="1"/>
  <c r="AK32" i="15"/>
  <c r="AJ32" i="15" s="1"/>
  <c r="AK30" i="16" s="1"/>
  <c r="AJ30" i="16" s="1"/>
  <c r="AJ29" i="14"/>
  <c r="AH28" i="14" s="1"/>
  <c r="AL28" i="14" s="1"/>
  <c r="AK34" i="19"/>
  <c r="AJ34" i="19" s="1"/>
  <c r="AH34" i="18"/>
  <c r="AL34" i="18" s="1"/>
  <c r="L39" i="24" s="1"/>
  <c r="AH35" i="18"/>
  <c r="AL35" i="18" s="1"/>
  <c r="L40" i="24" s="1"/>
  <c r="AK35" i="19"/>
  <c r="AJ35" i="19" s="1"/>
  <c r="AH31" i="16"/>
  <c r="AL31" i="16" s="1"/>
  <c r="AK31" i="17"/>
  <c r="AJ31" i="17" s="1"/>
  <c r="AH32" i="16"/>
  <c r="AL32" i="16" s="1"/>
  <c r="AK32" i="17"/>
  <c r="AJ32" i="17" s="1"/>
  <c r="AK29" i="16"/>
  <c r="AJ29" i="16" s="1"/>
  <c r="AH35" i="14" l="1"/>
  <c r="AL35" i="14" s="1"/>
  <c r="AH29" i="14"/>
  <c r="AL29" i="14" s="1"/>
  <c r="AH30" i="14"/>
  <c r="AL30" i="14" s="1"/>
  <c r="AH31" i="14"/>
  <c r="AL31" i="14" s="1"/>
  <c r="AH34" i="14"/>
  <c r="AL34" i="14" s="1"/>
  <c r="AH33" i="14"/>
  <c r="AL33" i="14" s="1"/>
  <c r="AH32" i="14"/>
  <c r="AL32" i="14" s="1"/>
  <c r="AH36" i="14"/>
  <c r="AL36" i="14" s="1"/>
  <c r="AH27" i="14"/>
  <c r="AL27" i="14" s="1"/>
  <c r="AK36" i="18"/>
  <c r="AJ36" i="18" s="1"/>
  <c r="AK36" i="19" s="1"/>
  <c r="AJ36" i="19" s="1"/>
  <c r="AH36" i="19" s="1"/>
  <c r="AL36" i="19" s="1"/>
  <c r="M41" i="24" s="1"/>
  <c r="J37" i="24"/>
  <c r="J36" i="24"/>
  <c r="AH33" i="16"/>
  <c r="AL33" i="16" s="1"/>
  <c r="AK29" i="15"/>
  <c r="AJ29" i="15" s="1"/>
  <c r="AH32" i="15" s="1"/>
  <c r="AL32" i="15" s="1"/>
  <c r="H35" i="24" s="1"/>
  <c r="AH32" i="17"/>
  <c r="AL32" i="17" s="1"/>
  <c r="K37" i="24" s="1"/>
  <c r="AK32" i="18"/>
  <c r="AJ32" i="18" s="1"/>
  <c r="AH31" i="17"/>
  <c r="AL31" i="17" s="1"/>
  <c r="K36" i="24" s="1"/>
  <c r="AK31" i="18"/>
  <c r="AJ31" i="18" s="1"/>
  <c r="AH33" i="17"/>
  <c r="AL33" i="17" s="1"/>
  <c r="K38" i="24" s="1"/>
  <c r="AK33" i="18"/>
  <c r="AJ33" i="18" s="1"/>
  <c r="AH35" i="19"/>
  <c r="AL35" i="19" s="1"/>
  <c r="M40" i="24" s="1"/>
  <c r="AK35" i="20"/>
  <c r="AJ35" i="20" s="1"/>
  <c r="AH35" i="20" s="1"/>
  <c r="AL35" i="20" s="1"/>
  <c r="N40" i="24" s="1"/>
  <c r="AH34" i="19"/>
  <c r="AL34" i="19" s="1"/>
  <c r="M39" i="24" s="1"/>
  <c r="AK34" i="20"/>
  <c r="AJ34" i="20" s="1"/>
  <c r="AH34" i="20" s="1"/>
  <c r="AL34" i="20" s="1"/>
  <c r="N39" i="24" s="1"/>
  <c r="AK29" i="17"/>
  <c r="AJ29" i="17" s="1"/>
  <c r="AH29" i="16"/>
  <c r="AL29" i="16" s="1"/>
  <c r="AK30" i="17"/>
  <c r="AJ30" i="17" s="1"/>
  <c r="AH30" i="16"/>
  <c r="AL30" i="16" s="1"/>
  <c r="AH27" i="15" l="1"/>
  <c r="AL27" i="15" s="1"/>
  <c r="H34" i="24" s="1"/>
  <c r="AH29" i="15"/>
  <c r="AL29" i="15" s="1"/>
  <c r="H33" i="24" s="1"/>
  <c r="AH31" i="15"/>
  <c r="AL31" i="15" s="1"/>
  <c r="H36" i="24" s="1"/>
  <c r="AH35" i="15"/>
  <c r="AL35" i="15" s="1"/>
  <c r="H38" i="24" s="1"/>
  <c r="AH34" i="15"/>
  <c r="AL34" i="15" s="1"/>
  <c r="H39" i="24" s="1"/>
  <c r="AH36" i="15"/>
  <c r="AL36" i="15" s="1"/>
  <c r="H40" i="24" s="1"/>
  <c r="AH33" i="15"/>
  <c r="AL33" i="15" s="1"/>
  <c r="H41" i="24" s="1"/>
  <c r="AH30" i="15"/>
  <c r="AL30" i="15" s="1"/>
  <c r="H37" i="24" s="1"/>
  <c r="AH28" i="15"/>
  <c r="AL28" i="15" s="1"/>
  <c r="H32" i="24" s="1"/>
  <c r="AK36" i="20"/>
  <c r="AJ36" i="20" s="1"/>
  <c r="AH36" i="20" s="1"/>
  <c r="AL36" i="20" s="1"/>
  <c r="N41" i="24" s="1"/>
  <c r="AH36" i="18"/>
  <c r="AL36" i="18" s="1"/>
  <c r="L41" i="24" s="1"/>
  <c r="J35" i="24"/>
  <c r="J34" i="24"/>
  <c r="J38" i="24"/>
  <c r="AK28" i="16"/>
  <c r="AJ28" i="16" s="1"/>
  <c r="AK28" i="17" s="1"/>
  <c r="AJ28" i="17" s="1"/>
  <c r="AH33" i="18"/>
  <c r="AL33" i="18" s="1"/>
  <c r="L38" i="24" s="1"/>
  <c r="AK33" i="19"/>
  <c r="AJ33" i="19" s="1"/>
  <c r="AH31" i="18"/>
  <c r="AL31" i="18" s="1"/>
  <c r="L36" i="24" s="1"/>
  <c r="AK31" i="19"/>
  <c r="AJ31" i="19" s="1"/>
  <c r="AH32" i="18"/>
  <c r="AL32" i="18" s="1"/>
  <c r="L37" i="24" s="1"/>
  <c r="AK32" i="19"/>
  <c r="AJ32" i="19" s="1"/>
  <c r="AK29" i="18"/>
  <c r="AJ29" i="18" s="1"/>
  <c r="AK30" i="18"/>
  <c r="AJ30" i="18" s="1"/>
  <c r="AH27" i="16"/>
  <c r="AL27" i="16" s="1"/>
  <c r="AH28" i="16" l="1"/>
  <c r="AL28" i="16" s="1"/>
  <c r="J32" i="24"/>
  <c r="AH31" i="19"/>
  <c r="AL31" i="19" s="1"/>
  <c r="M36" i="24" s="1"/>
  <c r="AK31" i="20"/>
  <c r="AJ31" i="20" s="1"/>
  <c r="AH31" i="20" s="1"/>
  <c r="AL31" i="20" s="1"/>
  <c r="N36" i="24" s="1"/>
  <c r="AH32" i="19"/>
  <c r="AL32" i="19" s="1"/>
  <c r="M37" i="24" s="1"/>
  <c r="AK32" i="20"/>
  <c r="AJ32" i="20" s="1"/>
  <c r="AH32" i="20" s="1"/>
  <c r="AL32" i="20" s="1"/>
  <c r="N37" i="24" s="1"/>
  <c r="AH33" i="19"/>
  <c r="AL33" i="19" s="1"/>
  <c r="M38" i="24" s="1"/>
  <c r="AK33" i="20"/>
  <c r="AJ33" i="20" s="1"/>
  <c r="AH33" i="20" s="1"/>
  <c r="AL33" i="20" s="1"/>
  <c r="N38" i="24" s="1"/>
  <c r="AK28" i="18"/>
  <c r="AJ28" i="18" s="1"/>
  <c r="AH28" i="17"/>
  <c r="AL28" i="17" s="1"/>
  <c r="K33" i="24" s="1"/>
  <c r="AH27" i="17"/>
  <c r="AL27" i="17" s="1"/>
  <c r="K32" i="24" s="1"/>
  <c r="AH30" i="17"/>
  <c r="AL30" i="17" s="1"/>
  <c r="K35" i="24" s="1"/>
  <c r="AK30" i="19"/>
  <c r="AJ30" i="19" s="1"/>
  <c r="AH30" i="18"/>
  <c r="AL30" i="18" s="1"/>
  <c r="L35" i="24" s="1"/>
  <c r="AH29" i="17"/>
  <c r="AL29" i="17" s="1"/>
  <c r="K34" i="24" s="1"/>
  <c r="AK29" i="19"/>
  <c r="AJ29" i="19" s="1"/>
  <c r="AH29" i="18"/>
  <c r="AL29" i="18" s="1"/>
  <c r="L34" i="24" s="1"/>
  <c r="J33" i="24" l="1"/>
  <c r="AK5" i="21"/>
  <c r="AJ5" i="21" s="1"/>
  <c r="AK5" i="22" s="1"/>
  <c r="AJ5" i="22" s="1"/>
  <c r="AK5" i="23" s="1"/>
  <c r="AK29" i="20"/>
  <c r="AJ29" i="20" s="1"/>
  <c r="AH17" i="22"/>
  <c r="AL17" i="22" s="1"/>
  <c r="P17" i="24" s="1"/>
  <c r="AH17" i="21"/>
  <c r="AL17" i="21" s="1"/>
  <c r="O17" i="24" s="1"/>
  <c r="AK30" i="20"/>
  <c r="AJ30" i="20" s="1"/>
  <c r="AH4" i="23"/>
  <c r="AL4" i="23" s="1"/>
  <c r="AH4" i="21"/>
  <c r="AL4" i="21" s="1"/>
  <c r="O9" i="24" s="1"/>
  <c r="AH4" i="22"/>
  <c r="AL4" i="22" s="1"/>
  <c r="P9" i="24" s="1"/>
  <c r="AK28" i="19"/>
  <c r="AJ28" i="19" s="1"/>
  <c r="AH30" i="19" s="1"/>
  <c r="AL30" i="19" s="1"/>
  <c r="M35" i="24" s="1"/>
  <c r="AH27" i="18"/>
  <c r="AL27" i="18" s="1"/>
  <c r="L32" i="24" s="1"/>
  <c r="AH28" i="18"/>
  <c r="AL28" i="18" s="1"/>
  <c r="L33" i="24" s="1"/>
  <c r="AJ5" i="23" l="1"/>
  <c r="AH5" i="23" s="1"/>
  <c r="AL5" i="23" s="1"/>
  <c r="Q23" i="24"/>
  <c r="AH5" i="21"/>
  <c r="AL5" i="21" s="1"/>
  <c r="O23" i="24" s="1"/>
  <c r="AH5" i="22"/>
  <c r="AL5" i="22" s="1"/>
  <c r="P23" i="24" s="1"/>
  <c r="AK27" i="21"/>
  <c r="AJ27" i="21" s="1"/>
  <c r="AK28" i="20"/>
  <c r="AJ28" i="20" s="1"/>
  <c r="AH28" i="19"/>
  <c r="AL28" i="19" s="1"/>
  <c r="M33" i="24" s="1"/>
  <c r="AH27" i="19"/>
  <c r="AL27" i="19" s="1"/>
  <c r="M32" i="24" s="1"/>
  <c r="AH29" i="19"/>
  <c r="AL29" i="19" s="1"/>
  <c r="M34" i="24" s="1"/>
  <c r="AK28" i="21"/>
  <c r="AJ28" i="21" s="1"/>
  <c r="AK10" i="21" l="1"/>
  <c r="AJ10" i="21" s="1"/>
  <c r="AK26" i="21"/>
  <c r="AJ26" i="21" s="1"/>
  <c r="AH28" i="21" s="1"/>
  <c r="AL28" i="21" s="1"/>
  <c r="O40" i="24" s="1"/>
  <c r="AH28" i="20"/>
  <c r="AL28" i="20" s="1"/>
  <c r="N33" i="24" s="1"/>
  <c r="AH27" i="20"/>
  <c r="AL27" i="20" s="1"/>
  <c r="N32" i="24" s="1"/>
  <c r="AK28" i="22"/>
  <c r="AJ28" i="22" s="1"/>
  <c r="AH29" i="20"/>
  <c r="AL29" i="20" s="1"/>
  <c r="N34" i="24" s="1"/>
  <c r="AH30" i="20"/>
  <c r="AL30" i="20" s="1"/>
  <c r="N35" i="24" s="1"/>
  <c r="AK27" i="22"/>
  <c r="AJ27" i="22" s="1"/>
  <c r="AH27" i="21"/>
  <c r="AL27" i="21" s="1"/>
  <c r="O37" i="24" s="1"/>
  <c r="AK12" i="21" l="1"/>
  <c r="AJ12" i="21" s="1"/>
  <c r="AK12" i="22" s="1"/>
  <c r="AJ12" i="22" s="1"/>
  <c r="AK12" i="23" s="1"/>
  <c r="AK10" i="22"/>
  <c r="AJ10" i="22" s="1"/>
  <c r="AH10" i="21"/>
  <c r="AL10" i="21" s="1"/>
  <c r="O24" i="24" s="1"/>
  <c r="AK16" i="21"/>
  <c r="AJ16" i="21" s="1"/>
  <c r="AH16" i="21" s="1"/>
  <c r="AL16" i="21" s="1"/>
  <c r="O14" i="24" s="1"/>
  <c r="AK8" i="21"/>
  <c r="AJ8" i="21" s="1"/>
  <c r="AK9" i="22"/>
  <c r="AJ9" i="22" s="1"/>
  <c r="AK11" i="21"/>
  <c r="AJ11" i="21" s="1"/>
  <c r="AK27" i="23"/>
  <c r="AK28" i="23"/>
  <c r="AK26" i="22"/>
  <c r="AJ26" i="22" s="1"/>
  <c r="AH28" i="22" s="1"/>
  <c r="AL28" i="22" s="1"/>
  <c r="AH25" i="21"/>
  <c r="AL25" i="21" s="1"/>
  <c r="AH26" i="21"/>
  <c r="AL26" i="21" s="1"/>
  <c r="AJ27" i="23" l="1"/>
  <c r="Q37" i="24"/>
  <c r="P37" i="24"/>
  <c r="AJ28" i="23"/>
  <c r="Q40" i="24"/>
  <c r="P40" i="24"/>
  <c r="AJ12" i="23"/>
  <c r="AH12" i="23" s="1"/>
  <c r="AL12" i="23" s="1"/>
  <c r="Q13" i="24"/>
  <c r="AK16" i="22"/>
  <c r="AJ16" i="22" s="1"/>
  <c r="AH16" i="22" s="1"/>
  <c r="AL16" i="22" s="1"/>
  <c r="P14" i="24" s="1"/>
  <c r="AH12" i="22"/>
  <c r="AL12" i="22" s="1"/>
  <c r="P13" i="24" s="1"/>
  <c r="AH12" i="21"/>
  <c r="AL12" i="21" s="1"/>
  <c r="O13" i="24" s="1"/>
  <c r="AK10" i="23"/>
  <c r="AH10" i="22"/>
  <c r="AL10" i="22" s="1"/>
  <c r="P24" i="24" s="1"/>
  <c r="AK8" i="22"/>
  <c r="AJ8" i="22" s="1"/>
  <c r="AH8" i="21"/>
  <c r="AL8" i="21" s="1"/>
  <c r="O11" i="24" s="1"/>
  <c r="AK9" i="23"/>
  <c r="AH9" i="22"/>
  <c r="AL9" i="22" s="1"/>
  <c r="P10" i="24" s="1"/>
  <c r="AH17" i="23"/>
  <c r="AL17" i="23" s="1"/>
  <c r="AK11" i="22"/>
  <c r="AJ11" i="22" s="1"/>
  <c r="AH11" i="21"/>
  <c r="AL11" i="21" s="1"/>
  <c r="O6" i="24" s="1"/>
  <c r="AK26" i="23"/>
  <c r="AJ26" i="23" s="1"/>
  <c r="AH26" i="22"/>
  <c r="AL26" i="22" s="1"/>
  <c r="AH25" i="22"/>
  <c r="AL25" i="22" s="1"/>
  <c r="AH27" i="22"/>
  <c r="AL27" i="22" s="1"/>
  <c r="AH27" i="23" l="1"/>
  <c r="AL27" i="23" s="1"/>
  <c r="AJ9" i="23"/>
  <c r="AH9" i="23" s="1"/>
  <c r="AL9" i="23" s="1"/>
  <c r="Q10" i="24"/>
  <c r="AJ10" i="23"/>
  <c r="AH10" i="23" s="1"/>
  <c r="AL10" i="23" s="1"/>
  <c r="Q24" i="24"/>
  <c r="AK16" i="23"/>
  <c r="AK8" i="23"/>
  <c r="AH8" i="22"/>
  <c r="AL8" i="22" s="1"/>
  <c r="P11" i="24" s="1"/>
  <c r="AK11" i="23"/>
  <c r="AH11" i="22"/>
  <c r="AL11" i="22" s="1"/>
  <c r="P6" i="24" s="1"/>
  <c r="AH25" i="23"/>
  <c r="AL25" i="23" s="1"/>
  <c r="AH26" i="23"/>
  <c r="AL26" i="23" s="1"/>
  <c r="AH28" i="23"/>
  <c r="AL28" i="23" s="1"/>
  <c r="AJ8" i="23" l="1"/>
  <c r="AH8" i="23" s="1"/>
  <c r="AL8" i="23" s="1"/>
  <c r="Q11" i="24"/>
  <c r="AJ16" i="23"/>
  <c r="AH16" i="23" s="1"/>
  <c r="AL16" i="23" s="1"/>
  <c r="Q14" i="24"/>
  <c r="AJ11" i="23"/>
  <c r="AH11" i="23" s="1"/>
  <c r="AL11" i="23" s="1"/>
  <c r="Q6" i="24"/>
  <c r="AK9" i="21"/>
  <c r="AJ9" i="21" s="1"/>
  <c r="AH9" i="21" s="1"/>
  <c r="AL9" i="21" s="1"/>
  <c r="O10" i="24"/>
  <c r="AK20" i="23"/>
  <c r="AJ20" i="23" s="1"/>
  <c r="AH20" i="23" s="1"/>
  <c r="AL20" i="23" s="1"/>
  <c r="AK13" i="21"/>
  <c r="AJ13" i="21" s="1"/>
  <c r="AH13" i="21" s="1"/>
  <c r="AL13" i="21" s="1"/>
  <c r="AK13" i="22"/>
  <c r="AJ13" i="22" s="1"/>
  <c r="AH13" i="22" s="1"/>
  <c r="AL13" i="22" s="1"/>
  <c r="AK6" i="22"/>
  <c r="AJ6" i="22" s="1"/>
  <c r="AH6" i="22" s="1"/>
  <c r="AL6" i="22" s="1"/>
  <c r="P12" i="24"/>
  <c r="AK6" i="23"/>
  <c r="AJ6" i="23" s="1"/>
  <c r="AH6" i="23" s="1"/>
  <c r="AL6" i="23" s="1"/>
  <c r="AK15" i="22"/>
  <c r="AJ15" i="22" s="1"/>
  <c r="AH15" i="22" s="1"/>
  <c r="AL15" i="22" s="1"/>
  <c r="P22" i="24"/>
  <c r="AK15" i="23"/>
  <c r="AJ15" i="23" s="1"/>
  <c r="AH15" i="23" s="1"/>
  <c r="AL15" i="23" s="1"/>
  <c r="AK15" i="21"/>
  <c r="AJ15" i="21" s="1"/>
  <c r="AH15" i="21" s="1"/>
  <c r="AL15" i="21" s="1"/>
  <c r="O22" i="24"/>
  <c r="AK19" i="21"/>
  <c r="AJ19" i="21" s="1"/>
  <c r="AH19" i="21" s="1"/>
  <c r="AL19" i="21" s="1"/>
  <c r="O8" i="24"/>
  <c r="AK19" i="22"/>
  <c r="AJ19" i="22" s="1"/>
  <c r="AH19" i="22" s="1"/>
  <c r="AL19" i="22" s="1"/>
  <c r="AK18" i="23"/>
  <c r="AJ18" i="23" s="1"/>
  <c r="AH18" i="23" s="1"/>
  <c r="AL18" i="23" s="1"/>
  <c r="AK14" i="23"/>
  <c r="AJ14" i="23" s="1"/>
  <c r="AH14" i="23" s="1"/>
  <c r="AL14" i="23" s="1"/>
  <c r="AK13" i="23"/>
  <c r="AJ13" i="23" s="1"/>
  <c r="AH13" i="23" s="1"/>
  <c r="AL13" i="23" s="1"/>
  <c r="AK14" i="22"/>
  <c r="AJ14" i="22" s="1"/>
  <c r="AH14" i="22" s="1"/>
  <c r="AL14" i="22" s="1"/>
  <c r="P20" i="24"/>
  <c r="AK7" i="23"/>
  <c r="AJ7" i="23" s="1"/>
  <c r="AH7" i="23" s="1"/>
  <c r="AL7" i="23" s="1"/>
  <c r="AK18" i="21"/>
  <c r="AJ18" i="21" s="1"/>
  <c r="AH18" i="21" s="1"/>
  <c r="AL18" i="21" s="1"/>
  <c r="O15" i="24"/>
  <c r="AK18" i="22"/>
  <c r="AJ18" i="22" s="1"/>
  <c r="AH18" i="22" s="1"/>
  <c r="AL18" i="22" s="1"/>
  <c r="AK19" i="23"/>
  <c r="AJ19" i="23" s="1"/>
  <c r="AH19" i="23" s="1"/>
  <c r="AL19" i="23" s="1"/>
  <c r="AK20" i="22"/>
  <c r="AJ20" i="22" s="1"/>
  <c r="AH20" i="22" s="1"/>
  <c r="AL20" i="22" s="1"/>
  <c r="AK7" i="21"/>
  <c r="AJ7" i="21" s="1"/>
  <c r="AH7" i="21" s="1"/>
  <c r="AL7" i="21" s="1"/>
  <c r="O19" i="24"/>
  <c r="AK7" i="22"/>
  <c r="AJ7" i="22" s="1"/>
  <c r="AH7" i="22" s="1"/>
  <c r="AL7" i="22" s="1"/>
  <c r="AK6" i="21"/>
  <c r="AJ6" i="21" s="1"/>
  <c r="AH6" i="21" s="1"/>
  <c r="AL6" i="21" s="1"/>
  <c r="O12" i="24"/>
  <c r="AK14" i="21"/>
  <c r="AJ14" i="21" s="1"/>
  <c r="AH14" i="21" s="1"/>
  <c r="AL14" i="21" s="1"/>
  <c r="O20" i="24"/>
  <c r="AK20" i="21"/>
  <c r="AJ20" i="21" s="1"/>
  <c r="AH20" i="21" s="1"/>
  <c r="AL20" i="21" s="1"/>
  <c r="P8" i="24"/>
  <c r="P19" i="24"/>
  <c r="P15" i="24"/>
  <c r="AH21" i="10"/>
  <c r="AJ21" i="10" s="1"/>
  <c r="AH9" i="10"/>
  <c r="AJ9" i="10" s="1"/>
  <c r="AH5" i="10"/>
  <c r="AJ5" i="10" s="1"/>
  <c r="AH22" i="10"/>
  <c r="AJ22" i="10" s="1"/>
  <c r="AH6" i="10"/>
  <c r="AJ6" i="10" s="1"/>
  <c r="AH18" i="10"/>
  <c r="AJ18" i="10" s="1"/>
  <c r="AH19" i="10"/>
  <c r="AJ19" i="10" s="1"/>
  <c r="AH13" i="10"/>
  <c r="AJ13" i="10"/>
  <c r="AH8" i="10"/>
  <c r="AJ8" i="10" s="1"/>
  <c r="AH16" i="10"/>
  <c r="AJ16" i="10" s="1"/>
  <c r="AH12" i="10"/>
  <c r="AJ12" i="10" s="1"/>
  <c r="AH14" i="10"/>
  <c r="AJ14" i="10" s="1"/>
  <c r="AH17" i="10"/>
  <c r="AJ17" i="10" s="1"/>
  <c r="AH15" i="10"/>
  <c r="AJ15" i="10" s="1"/>
  <c r="AH20" i="10"/>
  <c r="AJ20" i="10" s="1"/>
  <c r="AK14" i="6"/>
  <c r="AJ14" i="6" s="1"/>
  <c r="AH10" i="10"/>
  <c r="AJ10" i="10" s="1"/>
  <c r="AH4" i="10"/>
  <c r="AJ4" i="10" s="1"/>
  <c r="AK17" i="6"/>
  <c r="AJ17" i="6" s="1"/>
  <c r="AK15" i="11" s="1"/>
  <c r="AJ15" i="11" s="1"/>
  <c r="AH11" i="10"/>
  <c r="AJ11" i="10" s="1"/>
  <c r="AK9" i="6"/>
  <c r="AJ9" i="6" s="1"/>
  <c r="AK6" i="11" s="1"/>
  <c r="AJ6" i="11" s="1"/>
  <c r="AK6" i="12" s="1"/>
  <c r="AJ6" i="12" s="1"/>
  <c r="AK13" i="6"/>
  <c r="AJ13" i="6" s="1"/>
  <c r="AK5" i="6"/>
  <c r="AJ5" i="6" s="1"/>
  <c r="AK8" i="11" s="1"/>
  <c r="AJ8" i="11" s="1"/>
  <c r="AK22" i="6"/>
  <c r="AJ22" i="6" s="1"/>
  <c r="AK11" i="6"/>
  <c r="AJ11" i="6" s="1"/>
  <c r="AH7" i="10"/>
  <c r="AJ7" i="10" s="1"/>
  <c r="AK18" i="6"/>
  <c r="AJ18" i="6" s="1"/>
  <c r="AK19" i="6"/>
  <c r="AJ19" i="6" s="1"/>
  <c r="AK16" i="6"/>
  <c r="AJ16" i="6" s="1"/>
  <c r="AK12" i="6"/>
  <c r="AJ12" i="6" s="1"/>
  <c r="AK16" i="11" s="1"/>
  <c r="AJ16" i="11" s="1"/>
  <c r="AK20" i="6"/>
  <c r="AJ20" i="6" s="1"/>
  <c r="AK21" i="6"/>
  <c r="AJ21" i="6" s="1"/>
  <c r="AK4" i="6"/>
  <c r="AJ4" i="6" s="1"/>
  <c r="AK6" i="6"/>
  <c r="AJ6" i="6" s="1"/>
  <c r="AK5" i="11" s="1"/>
  <c r="AJ5" i="11" s="1"/>
  <c r="AK5" i="12" s="1"/>
  <c r="AJ5" i="12" s="1"/>
  <c r="AK8" i="6"/>
  <c r="AJ8" i="6" s="1"/>
  <c r="AK10" i="11" s="1"/>
  <c r="AJ10" i="11" s="1"/>
  <c r="AK10" i="6"/>
  <c r="AJ10" i="6" s="1"/>
  <c r="AK13" i="11" s="1"/>
  <c r="AJ13" i="11" s="1"/>
  <c r="AK15" i="6"/>
  <c r="AJ15" i="6" s="1"/>
  <c r="AK11" i="11" s="1"/>
  <c r="AJ11" i="11" s="1"/>
  <c r="AK7" i="6"/>
  <c r="AJ7" i="6" s="1"/>
  <c r="AK7" i="11" s="1"/>
  <c r="AJ7" i="11" s="1"/>
  <c r="AH8" i="6" l="1"/>
  <c r="AL8" i="6" s="1"/>
  <c r="D11" i="24" s="1"/>
  <c r="AK21" i="12"/>
  <c r="AJ21" i="12" s="1"/>
  <c r="AK7" i="12"/>
  <c r="AJ7" i="12" s="1"/>
  <c r="AK8" i="13"/>
  <c r="AJ8" i="13" s="1"/>
  <c r="AK11" i="12"/>
  <c r="AJ11" i="12" s="1"/>
  <c r="AH4" i="6"/>
  <c r="AL4" i="6" s="1"/>
  <c r="D6" i="24" s="1"/>
  <c r="AK4" i="11"/>
  <c r="AJ4" i="11" s="1"/>
  <c r="AK12" i="12"/>
  <c r="AJ12" i="12" s="1"/>
  <c r="AH15" i="6"/>
  <c r="AL15" i="6" s="1"/>
  <c r="D18" i="24" s="1"/>
  <c r="AK21" i="11"/>
  <c r="AJ21" i="11" s="1"/>
  <c r="AH21" i="6"/>
  <c r="AL21" i="6" s="1"/>
  <c r="D21" i="24" s="1"/>
  <c r="AH16" i="6"/>
  <c r="AL16" i="6" s="1"/>
  <c r="D24" i="24" s="1"/>
  <c r="AK19" i="11"/>
  <c r="AJ19" i="11" s="1"/>
  <c r="AH5" i="6"/>
  <c r="AL5" i="6" s="1"/>
  <c r="D9" i="24" s="1"/>
  <c r="AH20" i="6"/>
  <c r="AL20" i="6" s="1"/>
  <c r="D20" i="24" s="1"/>
  <c r="AK18" i="11"/>
  <c r="AJ18" i="11" s="1"/>
  <c r="AH12" i="6"/>
  <c r="AL12" i="6" s="1"/>
  <c r="D16" i="24" s="1"/>
  <c r="AH19" i="6"/>
  <c r="AL19" i="6" s="1"/>
  <c r="D22" i="24" s="1"/>
  <c r="AK22" i="11"/>
  <c r="AJ22" i="11" s="1"/>
  <c r="AH13" i="6"/>
  <c r="AL13" i="6" s="1"/>
  <c r="D7" i="24" s="1"/>
  <c r="AK18" i="12"/>
  <c r="AJ18" i="12" s="1"/>
  <c r="AK15" i="12"/>
  <c r="AJ15" i="12" s="1"/>
  <c r="AK12" i="11"/>
  <c r="AJ12" i="11" s="1"/>
  <c r="AH11" i="6"/>
  <c r="AL11" i="6" s="1"/>
  <c r="D10" i="24" s="1"/>
  <c r="AH7" i="6"/>
  <c r="AL7" i="6" s="1"/>
  <c r="D14" i="24" s="1"/>
  <c r="AK14" i="11"/>
  <c r="AJ14" i="11" s="1"/>
  <c r="AH14" i="6"/>
  <c r="AL14" i="6" s="1"/>
  <c r="D15" i="24" s="1"/>
  <c r="AK8" i="12"/>
  <c r="AJ8" i="12" s="1"/>
  <c r="AH10" i="6"/>
  <c r="AL10" i="6" s="1"/>
  <c r="D17" i="24" s="1"/>
  <c r="AH6" i="6"/>
  <c r="AL6" i="6" s="1"/>
  <c r="D8" i="24" s="1"/>
  <c r="AK20" i="11"/>
  <c r="AJ20" i="11" s="1"/>
  <c r="AH22" i="6"/>
  <c r="AL22" i="6" s="1"/>
  <c r="D23" i="24" s="1"/>
  <c r="AK6" i="13"/>
  <c r="AJ6" i="13" s="1"/>
  <c r="AH18" i="6"/>
  <c r="AL18" i="6" s="1"/>
  <c r="D19" i="24" s="1"/>
  <c r="AK17" i="11"/>
  <c r="AJ17" i="11" s="1"/>
  <c r="AH9" i="6"/>
  <c r="AL9" i="6" s="1"/>
  <c r="D12" i="24" s="1"/>
  <c r="AK9" i="11"/>
  <c r="AJ9" i="11" s="1"/>
  <c r="AH17" i="6"/>
  <c r="AL17" i="6" s="1"/>
  <c r="D13" i="24" s="1"/>
  <c r="AH7" i="11" l="1"/>
  <c r="AL7" i="11" s="1"/>
  <c r="E14" i="24" s="1"/>
  <c r="AH22" i="11"/>
  <c r="AL22" i="11" s="1"/>
  <c r="E22" i="24" s="1"/>
  <c r="AK22" i="12"/>
  <c r="AJ22" i="12" s="1"/>
  <c r="AK14" i="12"/>
  <c r="AJ14" i="12" s="1"/>
  <c r="AH17" i="11"/>
  <c r="AL17" i="11" s="1"/>
  <c r="E19" i="24" s="1"/>
  <c r="AK10" i="13"/>
  <c r="AJ10" i="13" s="1"/>
  <c r="AK9" i="13"/>
  <c r="AJ9" i="13" s="1"/>
  <c r="AH10" i="11"/>
  <c r="AL10" i="11" s="1"/>
  <c r="E11" i="24" s="1"/>
  <c r="AH9" i="11"/>
  <c r="AL9" i="11" s="1"/>
  <c r="E7" i="24" s="1"/>
  <c r="AK9" i="12"/>
  <c r="AJ9" i="12" s="1"/>
  <c r="AH8" i="11"/>
  <c r="AL8" i="11" s="1"/>
  <c r="E9" i="24" s="1"/>
  <c r="AH13" i="11"/>
  <c r="AL13" i="11" s="1"/>
  <c r="E17" i="24" s="1"/>
  <c r="AH14" i="11"/>
  <c r="AL14" i="11" s="1"/>
  <c r="E15" i="24" s="1"/>
  <c r="AK13" i="12"/>
  <c r="AJ13" i="12" s="1"/>
  <c r="AH5" i="11"/>
  <c r="AL5" i="11" s="1"/>
  <c r="E8" i="24" s="1"/>
  <c r="AH11" i="11"/>
  <c r="AL11" i="11" s="1"/>
  <c r="E18" i="24" s="1"/>
  <c r="AH19" i="11"/>
  <c r="AL19" i="11" s="1"/>
  <c r="E24" i="24" s="1"/>
  <c r="AK17" i="12"/>
  <c r="AJ17" i="12" s="1"/>
  <c r="AK8" i="14"/>
  <c r="AJ8" i="14" s="1"/>
  <c r="AH18" i="11"/>
  <c r="AL18" i="11" s="1"/>
  <c r="E20" i="24" s="1"/>
  <c r="AK16" i="12"/>
  <c r="AJ16" i="12" s="1"/>
  <c r="AK7" i="14"/>
  <c r="AJ7" i="14" s="1"/>
  <c r="AK17" i="13"/>
  <c r="AJ17" i="13" s="1"/>
  <c r="AK5" i="13"/>
  <c r="AJ5" i="13" s="1"/>
  <c r="AH6" i="11"/>
  <c r="AL6" i="11" s="1"/>
  <c r="E12" i="24" s="1"/>
  <c r="AH15" i="11"/>
  <c r="AL15" i="11" s="1"/>
  <c r="E13" i="24" s="1"/>
  <c r="AK11" i="13"/>
  <c r="AJ11" i="13" s="1"/>
  <c r="AK20" i="12"/>
  <c r="AJ20" i="12" s="1"/>
  <c r="AH20" i="11"/>
  <c r="AL20" i="11" s="1"/>
  <c r="E23" i="24" s="1"/>
  <c r="AH21" i="11"/>
  <c r="AL21" i="11" s="1"/>
  <c r="E21" i="24" s="1"/>
  <c r="AK19" i="12"/>
  <c r="AJ19" i="12" s="1"/>
  <c r="AK21" i="13"/>
  <c r="AJ21" i="13" s="1"/>
  <c r="AH4" i="11"/>
  <c r="AL4" i="11" s="1"/>
  <c r="E6" i="24" s="1"/>
  <c r="AK4" i="12"/>
  <c r="AJ4" i="12" s="1"/>
  <c r="AH12" i="11"/>
  <c r="AL12" i="11" s="1"/>
  <c r="E10" i="24" s="1"/>
  <c r="AK10" i="12"/>
  <c r="AJ10" i="12" s="1"/>
  <c r="AK15" i="13"/>
  <c r="AJ15" i="13" s="1"/>
  <c r="AH16" i="11"/>
  <c r="AL16" i="11" s="1"/>
  <c r="E16" i="24" s="1"/>
  <c r="AH18" i="12" l="1"/>
  <c r="AL18" i="12" s="1"/>
  <c r="F13" i="24" s="1"/>
  <c r="AH21" i="12"/>
  <c r="AL21" i="12" s="1"/>
  <c r="F16" i="24" s="1"/>
  <c r="AH8" i="12"/>
  <c r="AL8" i="12" s="1"/>
  <c r="F9" i="24" s="1"/>
  <c r="AH11" i="12"/>
  <c r="AL11" i="12" s="1"/>
  <c r="F11" i="24" s="1"/>
  <c r="AH12" i="12"/>
  <c r="AL12" i="12" s="1"/>
  <c r="F17" i="24" s="1"/>
  <c r="AH15" i="12"/>
  <c r="AL15" i="12" s="1"/>
  <c r="F18" i="24" s="1"/>
  <c r="AH5" i="12"/>
  <c r="AL5" i="12" s="1"/>
  <c r="F8" i="24" s="1"/>
  <c r="AH6" i="12"/>
  <c r="AL6" i="12" s="1"/>
  <c r="F12" i="24" s="1"/>
  <c r="AH7" i="12"/>
  <c r="AL7" i="12" s="1"/>
  <c r="F14" i="24" s="1"/>
  <c r="AK7" i="15"/>
  <c r="AJ7" i="15" s="1"/>
  <c r="AK10" i="14"/>
  <c r="AJ10" i="14" s="1"/>
  <c r="AK8" i="15"/>
  <c r="AJ8" i="15" s="1"/>
  <c r="AK9" i="14"/>
  <c r="AJ9" i="14" s="1"/>
  <c r="AH20" i="12"/>
  <c r="AL20" i="12" s="1"/>
  <c r="F23" i="24" s="1"/>
  <c r="AK18" i="13"/>
  <c r="AJ18" i="13" s="1"/>
  <c r="AH17" i="12"/>
  <c r="AL17" i="12" s="1"/>
  <c r="F24" i="24" s="1"/>
  <c r="AK13" i="13"/>
  <c r="AJ13" i="13" s="1"/>
  <c r="AK12" i="13"/>
  <c r="AJ12" i="13" s="1"/>
  <c r="AH10" i="12"/>
  <c r="AL10" i="12" s="1"/>
  <c r="F10" i="24" s="1"/>
  <c r="AK14" i="14"/>
  <c r="AJ14" i="14" s="1"/>
  <c r="AK14" i="13"/>
  <c r="AJ14" i="13" s="1"/>
  <c r="AH16" i="12"/>
  <c r="AL16" i="12" s="1"/>
  <c r="F20" i="24" s="1"/>
  <c r="AH4" i="12"/>
  <c r="AL4" i="12" s="1"/>
  <c r="F6" i="24" s="1"/>
  <c r="AK4" i="13"/>
  <c r="AJ4" i="13" s="1"/>
  <c r="AK5" i="14"/>
  <c r="AJ5" i="14" s="1"/>
  <c r="AK21" i="14"/>
  <c r="AJ21" i="14" s="1"/>
  <c r="AK19" i="14"/>
  <c r="AJ19" i="14" s="1"/>
  <c r="AH13" i="12"/>
  <c r="AL13" i="12" s="1"/>
  <c r="F15" i="24" s="1"/>
  <c r="AK19" i="13"/>
  <c r="AJ19" i="13" s="1"/>
  <c r="AK16" i="13"/>
  <c r="AJ16" i="13" s="1"/>
  <c r="AH14" i="12"/>
  <c r="AL14" i="12" s="1"/>
  <c r="F19" i="24" s="1"/>
  <c r="AK12" i="14"/>
  <c r="AJ12" i="14" s="1"/>
  <c r="AH22" i="12"/>
  <c r="AL22" i="12" s="1"/>
  <c r="F22" i="24" s="1"/>
  <c r="AK22" i="13"/>
  <c r="AJ22" i="13" s="1"/>
  <c r="AK7" i="13"/>
  <c r="AJ7" i="13" s="1"/>
  <c r="AH9" i="12"/>
  <c r="AL9" i="12" s="1"/>
  <c r="F7" i="24" s="1"/>
  <c r="AK20" i="13"/>
  <c r="AJ20" i="13" s="1"/>
  <c r="AH19" i="12"/>
  <c r="AL19" i="12" s="1"/>
  <c r="F21" i="24" s="1"/>
  <c r="AH11" i="13" l="1"/>
  <c r="AL11" i="13" s="1"/>
  <c r="G17" i="24" s="1"/>
  <c r="AH10" i="13"/>
  <c r="AL10" i="13" s="1"/>
  <c r="G11" i="24" s="1"/>
  <c r="AH9" i="13"/>
  <c r="AL9" i="13" s="1"/>
  <c r="G9" i="24" s="1"/>
  <c r="AH15" i="13"/>
  <c r="AL15" i="13" s="1"/>
  <c r="G13" i="24" s="1"/>
  <c r="AH5" i="13"/>
  <c r="AL5" i="13" s="1"/>
  <c r="G14" i="24" s="1"/>
  <c r="AH8" i="13"/>
  <c r="AL8" i="13" s="1"/>
  <c r="G8" i="24" s="1"/>
  <c r="AH6" i="13"/>
  <c r="AL6" i="13" s="1"/>
  <c r="G12" i="24" s="1"/>
  <c r="AH17" i="13"/>
  <c r="AL17" i="13" s="1"/>
  <c r="G18" i="24" s="1"/>
  <c r="AH21" i="13"/>
  <c r="AL21" i="13" s="1"/>
  <c r="G16" i="24" s="1"/>
  <c r="AK6" i="14"/>
  <c r="AJ6" i="14" s="1"/>
  <c r="AH7" i="13"/>
  <c r="AL7" i="13" s="1"/>
  <c r="G7" i="24" s="1"/>
  <c r="AK6" i="15"/>
  <c r="AJ6" i="15" s="1"/>
  <c r="AH4" i="13"/>
  <c r="AL4" i="13" s="1"/>
  <c r="G6" i="24" s="1"/>
  <c r="AK4" i="14"/>
  <c r="AJ4" i="14" s="1"/>
  <c r="AK9" i="15"/>
  <c r="AJ9" i="15" s="1"/>
  <c r="AK21" i="15"/>
  <c r="AJ21" i="15" s="1"/>
  <c r="AK11" i="15"/>
  <c r="AJ11" i="15" s="1"/>
  <c r="AK11" i="14"/>
  <c r="AJ11" i="14" s="1"/>
  <c r="AH13" i="13"/>
  <c r="AL13" i="13" s="1"/>
  <c r="G24" i="24" s="1"/>
  <c r="AH22" i="13"/>
  <c r="AL22" i="13" s="1"/>
  <c r="G22" i="24" s="1"/>
  <c r="AK22" i="14"/>
  <c r="AJ22" i="14" s="1"/>
  <c r="AH16" i="13"/>
  <c r="AL16" i="13" s="1"/>
  <c r="G19" i="24" s="1"/>
  <c r="AK16" i="14"/>
  <c r="AJ16" i="14" s="1"/>
  <c r="AK15" i="14"/>
  <c r="AJ15" i="14" s="1"/>
  <c r="AH14" i="13"/>
  <c r="AL14" i="13" s="1"/>
  <c r="G20" i="24" s="1"/>
  <c r="AK6" i="16"/>
  <c r="AJ6" i="16" s="1"/>
  <c r="AH19" i="13"/>
  <c r="AL19" i="13" s="1"/>
  <c r="G15" i="24" s="1"/>
  <c r="AK18" i="14"/>
  <c r="AJ18" i="14" s="1"/>
  <c r="AK13" i="15"/>
  <c r="AJ13" i="15" s="1"/>
  <c r="AK10" i="15"/>
  <c r="AJ10" i="15" s="1"/>
  <c r="AH18" i="13"/>
  <c r="AL18" i="13" s="1"/>
  <c r="G23" i="24" s="1"/>
  <c r="AK17" i="14"/>
  <c r="AJ17" i="14" s="1"/>
  <c r="AK20" i="15"/>
  <c r="AJ20" i="15" s="1"/>
  <c r="AH20" i="13"/>
  <c r="AL20" i="13" s="1"/>
  <c r="G21" i="24" s="1"/>
  <c r="AK20" i="14"/>
  <c r="AJ20" i="14" s="1"/>
  <c r="AK13" i="14"/>
  <c r="AJ13" i="14" s="1"/>
  <c r="AH12" i="13"/>
  <c r="AL12" i="13" s="1"/>
  <c r="G10" i="24" s="1"/>
  <c r="AK10" i="16"/>
  <c r="AJ10" i="16" s="1"/>
  <c r="AH19" i="14" l="1"/>
  <c r="AL19" i="14" s="1"/>
  <c r="H18" i="24" s="1"/>
  <c r="AH7" i="14"/>
  <c r="AL7" i="14" s="1"/>
  <c r="H12" i="24" s="1"/>
  <c r="AH8" i="14"/>
  <c r="AL8" i="14" s="1"/>
  <c r="H8" i="24" s="1"/>
  <c r="AH5" i="14"/>
  <c r="AL5" i="14" s="1"/>
  <c r="H14" i="24" s="1"/>
  <c r="AH12" i="14"/>
  <c r="AL12" i="14" s="1"/>
  <c r="H13" i="24" s="1"/>
  <c r="AH10" i="14"/>
  <c r="AL10" i="14" s="1"/>
  <c r="H17" i="24" s="1"/>
  <c r="AH14" i="14"/>
  <c r="AL14" i="14" s="1"/>
  <c r="H11" i="24" s="1"/>
  <c r="AH21" i="14"/>
  <c r="AL21" i="14" s="1"/>
  <c r="H16" i="24" s="1"/>
  <c r="AH9" i="14"/>
  <c r="AL9" i="14" s="1"/>
  <c r="H9" i="24" s="1"/>
  <c r="AK6" i="17"/>
  <c r="AJ6" i="17" s="1"/>
  <c r="AH6" i="16"/>
  <c r="AL6" i="16" s="1"/>
  <c r="J8" i="24" s="1"/>
  <c r="AK14" i="16"/>
  <c r="AJ14" i="16" s="1"/>
  <c r="AH13" i="14"/>
  <c r="AL13" i="14" s="1"/>
  <c r="H10" i="24" s="1"/>
  <c r="AK12" i="15"/>
  <c r="AJ12" i="15" s="1"/>
  <c r="AH20" i="14"/>
  <c r="AL20" i="14" s="1"/>
  <c r="H21" i="24" s="1"/>
  <c r="AK18" i="15"/>
  <c r="AJ18" i="15" s="1"/>
  <c r="AH15" i="14"/>
  <c r="AL15" i="14" s="1"/>
  <c r="H20" i="24" s="1"/>
  <c r="AK16" i="15"/>
  <c r="AJ16" i="15" s="1"/>
  <c r="AK7" i="16"/>
  <c r="AJ7" i="16" s="1"/>
  <c r="AK11" i="16"/>
  <c r="AJ11" i="16" s="1"/>
  <c r="AK14" i="15"/>
  <c r="AJ14" i="15" s="1"/>
  <c r="AH16" i="14"/>
  <c r="AL16" i="14" s="1"/>
  <c r="H19" i="24" s="1"/>
  <c r="AK4" i="15"/>
  <c r="AJ4" i="15" s="1"/>
  <c r="AH4" i="14"/>
  <c r="AL4" i="14" s="1"/>
  <c r="H6" i="24" s="1"/>
  <c r="AK19" i="15"/>
  <c r="AJ19" i="15" s="1"/>
  <c r="AH18" i="14"/>
  <c r="AL18" i="14" s="1"/>
  <c r="H15" i="24" s="1"/>
  <c r="AH17" i="14"/>
  <c r="AL17" i="14" s="1"/>
  <c r="H23" i="24" s="1"/>
  <c r="AK15" i="15"/>
  <c r="AJ15" i="15" s="1"/>
  <c r="AK16" i="16"/>
  <c r="AJ16" i="16" s="1"/>
  <c r="AH22" i="14"/>
  <c r="AL22" i="14" s="1"/>
  <c r="H22" i="24" s="1"/>
  <c r="AK22" i="15"/>
  <c r="AJ22" i="15" s="1"/>
  <c r="AK12" i="16"/>
  <c r="AJ12" i="16" s="1"/>
  <c r="AK15" i="16"/>
  <c r="AJ15" i="16" s="1"/>
  <c r="AH10" i="16"/>
  <c r="AL10" i="16" s="1"/>
  <c r="J12" i="24" s="1"/>
  <c r="AK10" i="17"/>
  <c r="AJ10" i="17" s="1"/>
  <c r="AK9" i="16"/>
  <c r="AJ9" i="16" s="1"/>
  <c r="AH11" i="14"/>
  <c r="AL11" i="14" s="1"/>
  <c r="H24" i="24" s="1"/>
  <c r="AK17" i="15"/>
  <c r="AJ17" i="15" s="1"/>
  <c r="AK5" i="15"/>
  <c r="AJ5" i="15" s="1"/>
  <c r="AH6" i="14"/>
  <c r="AL6" i="14" s="1"/>
  <c r="H7" i="24" s="1"/>
  <c r="AH6" i="15" l="1"/>
  <c r="AL6" i="15" s="1"/>
  <c r="I14" i="24" s="1"/>
  <c r="AH13" i="15"/>
  <c r="AL13" i="15" s="1"/>
  <c r="I11" i="24" s="1"/>
  <c r="AH11" i="15"/>
  <c r="AL11" i="15" s="1"/>
  <c r="I13" i="24" s="1"/>
  <c r="AH10" i="15"/>
  <c r="AL10" i="15" s="1"/>
  <c r="I17" i="24" s="1"/>
  <c r="AH9" i="15"/>
  <c r="AL9" i="15" s="1"/>
  <c r="I9" i="24" s="1"/>
  <c r="AH21" i="15"/>
  <c r="AL21" i="15" s="1"/>
  <c r="I16" i="24" s="1"/>
  <c r="AH20" i="15"/>
  <c r="AL20" i="15" s="1"/>
  <c r="I18" i="24" s="1"/>
  <c r="AH8" i="15"/>
  <c r="AL8" i="15" s="1"/>
  <c r="I8" i="24" s="1"/>
  <c r="AH7" i="15"/>
  <c r="AL7" i="15" s="1"/>
  <c r="I12" i="24" s="1"/>
  <c r="AH16" i="16"/>
  <c r="AL16" i="16" s="1"/>
  <c r="J18" i="24" s="1"/>
  <c r="AK16" i="17"/>
  <c r="AJ16" i="17" s="1"/>
  <c r="AH16" i="15"/>
  <c r="AL16" i="15" s="1"/>
  <c r="I20" i="24" s="1"/>
  <c r="AK18" i="16"/>
  <c r="AJ18" i="16" s="1"/>
  <c r="AK7" i="17"/>
  <c r="AJ7" i="17" s="1"/>
  <c r="AH7" i="16"/>
  <c r="AL7" i="16" s="1"/>
  <c r="J9" i="24" s="1"/>
  <c r="AK19" i="16"/>
  <c r="AJ19" i="16" s="1"/>
  <c r="AH18" i="15"/>
  <c r="AL18" i="15" s="1"/>
  <c r="I21" i="24" s="1"/>
  <c r="AK22" i="16"/>
  <c r="AJ22" i="16" s="1"/>
  <c r="AH17" i="15"/>
  <c r="AL17" i="15" s="1"/>
  <c r="I24" i="24" s="1"/>
  <c r="AH19" i="15"/>
  <c r="AL19" i="15" s="1"/>
  <c r="I15" i="24" s="1"/>
  <c r="AK13" i="16"/>
  <c r="AJ13" i="16" s="1"/>
  <c r="AH12" i="15"/>
  <c r="AL12" i="15" s="1"/>
  <c r="I10" i="24" s="1"/>
  <c r="AK8" i="16"/>
  <c r="AJ8" i="16" s="1"/>
  <c r="AH15" i="16"/>
  <c r="AL15" i="16" s="1"/>
  <c r="J17" i="24" s="1"/>
  <c r="AK15" i="17"/>
  <c r="AJ15" i="17" s="1"/>
  <c r="AK4" i="16"/>
  <c r="AJ4" i="16" s="1"/>
  <c r="AH4" i="15"/>
  <c r="AL4" i="15" s="1"/>
  <c r="I6" i="24" s="1"/>
  <c r="AK12" i="17"/>
  <c r="AJ12" i="17" s="1"/>
  <c r="AH12" i="16"/>
  <c r="AL12" i="16" s="1"/>
  <c r="J14" i="24" s="1"/>
  <c r="AH14" i="16"/>
  <c r="AL14" i="16" s="1"/>
  <c r="J16" i="24" s="1"/>
  <c r="AK14" i="17"/>
  <c r="AJ14" i="17" s="1"/>
  <c r="AK10" i="18"/>
  <c r="AJ10" i="18" s="1"/>
  <c r="AH10" i="17"/>
  <c r="AL10" i="17" s="1"/>
  <c r="K12" i="24" s="1"/>
  <c r="AH14" i="15"/>
  <c r="AL14" i="15" s="1"/>
  <c r="I19" i="24" s="1"/>
  <c r="AK17" i="16"/>
  <c r="AJ17" i="16" s="1"/>
  <c r="AH9" i="16"/>
  <c r="AL9" i="16" s="1"/>
  <c r="J11" i="24" s="1"/>
  <c r="AK9" i="17"/>
  <c r="AJ9" i="17" s="1"/>
  <c r="AH22" i="15"/>
  <c r="AL22" i="15" s="1"/>
  <c r="I22" i="24" s="1"/>
  <c r="AK20" i="16"/>
  <c r="AJ20" i="16" s="1"/>
  <c r="AH15" i="15"/>
  <c r="AL15" i="15" s="1"/>
  <c r="I23" i="24" s="1"/>
  <c r="AK21" i="16"/>
  <c r="AJ21" i="16" s="1"/>
  <c r="AH5" i="15"/>
  <c r="AL5" i="15" s="1"/>
  <c r="I7" i="24" s="1"/>
  <c r="AK5" i="16"/>
  <c r="AJ5" i="16" s="1"/>
  <c r="AK11" i="17"/>
  <c r="AJ11" i="17" s="1"/>
  <c r="AH11" i="16"/>
  <c r="AL11" i="16" s="1"/>
  <c r="J13" i="24" s="1"/>
  <c r="AK6" i="18"/>
  <c r="AJ6" i="18" s="1"/>
  <c r="AH6" i="17"/>
  <c r="AL6" i="17" s="1"/>
  <c r="K8" i="24" s="1"/>
  <c r="AH10" i="18" l="1"/>
  <c r="AL10" i="18" s="1"/>
  <c r="L12" i="24" s="1"/>
  <c r="AK10" i="19"/>
  <c r="AJ10" i="19" s="1"/>
  <c r="AK14" i="18"/>
  <c r="AJ14" i="18" s="1"/>
  <c r="AH14" i="17"/>
  <c r="AL14" i="17" s="1"/>
  <c r="K16" i="24" s="1"/>
  <c r="AK22" i="17"/>
  <c r="AJ22" i="17" s="1"/>
  <c r="AH22" i="16"/>
  <c r="AL22" i="16" s="1"/>
  <c r="J24" i="24" s="1"/>
  <c r="AK12" i="18"/>
  <c r="AJ12" i="18" s="1"/>
  <c r="AH12" i="17"/>
  <c r="AL12" i="17" s="1"/>
  <c r="K14" i="24" s="1"/>
  <c r="AK19" i="17"/>
  <c r="AJ19" i="17" s="1"/>
  <c r="AH19" i="16"/>
  <c r="AL19" i="16" s="1"/>
  <c r="J21" i="24" s="1"/>
  <c r="AH20" i="16"/>
  <c r="AL20" i="16" s="1"/>
  <c r="J22" i="24" s="1"/>
  <c r="AK20" i="17"/>
  <c r="AJ20" i="17" s="1"/>
  <c r="AK13" i="17"/>
  <c r="AJ13" i="17" s="1"/>
  <c r="AH13" i="16"/>
  <c r="AL13" i="16" s="1"/>
  <c r="J15" i="24" s="1"/>
  <c r="AK4" i="17"/>
  <c r="AJ4" i="17" s="1"/>
  <c r="AH4" i="16"/>
  <c r="AL4" i="16" s="1"/>
  <c r="J6" i="24" s="1"/>
  <c r="AH7" i="17"/>
  <c r="AL7" i="17" s="1"/>
  <c r="K9" i="24" s="1"/>
  <c r="AK7" i="18"/>
  <c r="AJ7" i="18" s="1"/>
  <c r="AK11" i="18"/>
  <c r="AJ11" i="18" s="1"/>
  <c r="AH11" i="17"/>
  <c r="AL11" i="17" s="1"/>
  <c r="K13" i="24" s="1"/>
  <c r="AH15" i="17"/>
  <c r="AL15" i="17" s="1"/>
  <c r="K17" i="24" s="1"/>
  <c r="AK15" i="18"/>
  <c r="AJ15" i="18" s="1"/>
  <c r="AK18" i="17"/>
  <c r="AJ18" i="17" s="1"/>
  <c r="AH18" i="16"/>
  <c r="AL18" i="16" s="1"/>
  <c r="J20" i="24" s="1"/>
  <c r="AH9" i="17"/>
  <c r="AL9" i="17" s="1"/>
  <c r="K11" i="24" s="1"/>
  <c r="AK9" i="18"/>
  <c r="AJ9" i="18" s="1"/>
  <c r="AK5" i="17"/>
  <c r="AJ5" i="17" s="1"/>
  <c r="AH5" i="16"/>
  <c r="AL5" i="16" s="1"/>
  <c r="J7" i="24" s="1"/>
  <c r="AK17" i="17"/>
  <c r="AJ17" i="17" s="1"/>
  <c r="AH17" i="16"/>
  <c r="AL17" i="16" s="1"/>
  <c r="J19" i="24" s="1"/>
  <c r="AK8" i="17"/>
  <c r="AJ8" i="17" s="1"/>
  <c r="AH8" i="16"/>
  <c r="AL8" i="16" s="1"/>
  <c r="J10" i="24" s="1"/>
  <c r="AH16" i="17"/>
  <c r="AL16" i="17" s="1"/>
  <c r="K18" i="24" s="1"/>
  <c r="AK16" i="18"/>
  <c r="AJ16" i="18" s="1"/>
  <c r="AK21" i="17"/>
  <c r="AJ21" i="17" s="1"/>
  <c r="AH21" i="16"/>
  <c r="AL21" i="16" s="1"/>
  <c r="J23" i="24" s="1"/>
  <c r="AH6" i="18"/>
  <c r="AL6" i="18" s="1"/>
  <c r="L8" i="24" s="1"/>
  <c r="AK6" i="19"/>
  <c r="AJ6" i="19" s="1"/>
  <c r="AH20" i="17" l="1"/>
  <c r="AL20" i="17" s="1"/>
  <c r="K22" i="24" s="1"/>
  <c r="AK20" i="18"/>
  <c r="AJ20" i="18" s="1"/>
  <c r="AH15" i="18"/>
  <c r="AL15" i="18" s="1"/>
  <c r="L17" i="24" s="1"/>
  <c r="AK15" i="19"/>
  <c r="AJ15" i="19" s="1"/>
  <c r="AH19" i="17"/>
  <c r="AL19" i="17" s="1"/>
  <c r="K21" i="24" s="1"/>
  <c r="AK19" i="18"/>
  <c r="AJ19" i="18" s="1"/>
  <c r="AH18" i="17"/>
  <c r="AL18" i="17" s="1"/>
  <c r="K20" i="24" s="1"/>
  <c r="AK18" i="18"/>
  <c r="AJ18" i="18" s="1"/>
  <c r="AK21" i="18"/>
  <c r="AJ21" i="18" s="1"/>
  <c r="AH21" i="17"/>
  <c r="AL21" i="17" s="1"/>
  <c r="K23" i="24" s="1"/>
  <c r="AH8" i="17"/>
  <c r="AL8" i="17" s="1"/>
  <c r="K10" i="24" s="1"/>
  <c r="AK8" i="18"/>
  <c r="AJ8" i="18" s="1"/>
  <c r="AK12" i="19"/>
  <c r="AJ12" i="19" s="1"/>
  <c r="AH12" i="18"/>
  <c r="AL12" i="18" s="1"/>
  <c r="L14" i="24" s="1"/>
  <c r="AK7" i="19"/>
  <c r="AJ7" i="19" s="1"/>
  <c r="AH7" i="18"/>
  <c r="AL7" i="18" s="1"/>
  <c r="L9" i="24" s="1"/>
  <c r="AK16" i="19"/>
  <c r="AJ16" i="19" s="1"/>
  <c r="AH16" i="18"/>
  <c r="AL16" i="18" s="1"/>
  <c r="L18" i="24" s="1"/>
  <c r="AK17" i="18"/>
  <c r="AJ17" i="18" s="1"/>
  <c r="AH17" i="17"/>
  <c r="AL17" i="17" s="1"/>
  <c r="K19" i="24" s="1"/>
  <c r="AK22" i="18"/>
  <c r="AJ22" i="18" s="1"/>
  <c r="AH22" i="17"/>
  <c r="AL22" i="17" s="1"/>
  <c r="K24" i="24" s="1"/>
  <c r="AH11" i="18"/>
  <c r="AL11" i="18" s="1"/>
  <c r="L13" i="24" s="1"/>
  <c r="AK11" i="19"/>
  <c r="AJ11" i="19" s="1"/>
  <c r="AH5" i="17"/>
  <c r="AL5" i="17" s="1"/>
  <c r="K7" i="24" s="1"/>
  <c r="AK5" i="18"/>
  <c r="AJ5" i="18" s="1"/>
  <c r="AH4" i="17"/>
  <c r="AL4" i="17" s="1"/>
  <c r="K6" i="24" s="1"/>
  <c r="AK4" i="18"/>
  <c r="AJ4" i="18" s="1"/>
  <c r="AH14" i="18"/>
  <c r="AL14" i="18" s="1"/>
  <c r="L16" i="24" s="1"/>
  <c r="AK14" i="19"/>
  <c r="AJ14" i="19" s="1"/>
  <c r="AH6" i="19"/>
  <c r="AL6" i="19" s="1"/>
  <c r="M8" i="24" s="1"/>
  <c r="AK6" i="20"/>
  <c r="AJ6" i="20" s="1"/>
  <c r="AH6" i="20" s="1"/>
  <c r="AL6" i="20" s="1"/>
  <c r="N8" i="24" s="1"/>
  <c r="AH9" i="18"/>
  <c r="AL9" i="18" s="1"/>
  <c r="L11" i="24" s="1"/>
  <c r="AK9" i="19"/>
  <c r="AJ9" i="19" s="1"/>
  <c r="AH10" i="19"/>
  <c r="AL10" i="19" s="1"/>
  <c r="M12" i="24" s="1"/>
  <c r="AK10" i="20"/>
  <c r="AJ10" i="20" s="1"/>
  <c r="AH10" i="20" s="1"/>
  <c r="AL10" i="20" s="1"/>
  <c r="N12" i="24" s="1"/>
  <c r="AK13" i="18"/>
  <c r="AJ13" i="18" s="1"/>
  <c r="AH13" i="17"/>
  <c r="AL13" i="17" s="1"/>
  <c r="K15" i="24" s="1"/>
  <c r="AH11" i="19" l="1"/>
  <c r="AL11" i="19" s="1"/>
  <c r="M13" i="24" s="1"/>
  <c r="AK11" i="20"/>
  <c r="AJ11" i="20" s="1"/>
  <c r="AH11" i="20" s="1"/>
  <c r="AL11" i="20" s="1"/>
  <c r="N13" i="24" s="1"/>
  <c r="AK8" i="19"/>
  <c r="AJ8" i="19" s="1"/>
  <c r="AH8" i="18"/>
  <c r="AL8" i="18" s="1"/>
  <c r="L10" i="24" s="1"/>
  <c r="AH21" i="18"/>
  <c r="AL21" i="18" s="1"/>
  <c r="L23" i="24" s="1"/>
  <c r="AK21" i="19"/>
  <c r="AJ21" i="19" s="1"/>
  <c r="AK18" i="19"/>
  <c r="AJ18" i="19" s="1"/>
  <c r="AH18" i="18"/>
  <c r="AL18" i="18" s="1"/>
  <c r="L20" i="24" s="1"/>
  <c r="AK22" i="19"/>
  <c r="AJ22" i="19" s="1"/>
  <c r="AH22" i="18"/>
  <c r="AL22" i="18" s="1"/>
  <c r="L24" i="24" s="1"/>
  <c r="AK17" i="19"/>
  <c r="AJ17" i="19" s="1"/>
  <c r="AH17" i="18"/>
  <c r="AL17" i="18" s="1"/>
  <c r="L19" i="24" s="1"/>
  <c r="AH14" i="19"/>
  <c r="AL14" i="19" s="1"/>
  <c r="M16" i="24" s="1"/>
  <c r="AK14" i="20"/>
  <c r="AJ14" i="20" s="1"/>
  <c r="AH14" i="20" s="1"/>
  <c r="AL14" i="20" s="1"/>
  <c r="N16" i="24" s="1"/>
  <c r="AH19" i="18"/>
  <c r="AL19" i="18" s="1"/>
  <c r="L21" i="24" s="1"/>
  <c r="AK19" i="19"/>
  <c r="AJ19" i="19" s="1"/>
  <c r="AK16" i="20"/>
  <c r="AJ16" i="20" s="1"/>
  <c r="AH16" i="20" s="1"/>
  <c r="AL16" i="20" s="1"/>
  <c r="N18" i="24" s="1"/>
  <c r="AH16" i="19"/>
  <c r="AL16" i="19" s="1"/>
  <c r="M18" i="24" s="1"/>
  <c r="AH15" i="19"/>
  <c r="AL15" i="19" s="1"/>
  <c r="M17" i="24" s="1"/>
  <c r="AK15" i="20"/>
  <c r="AJ15" i="20" s="1"/>
  <c r="AH15" i="20" s="1"/>
  <c r="AL15" i="20" s="1"/>
  <c r="N17" i="24" s="1"/>
  <c r="AH9" i="19"/>
  <c r="AL9" i="19" s="1"/>
  <c r="M11" i="24" s="1"/>
  <c r="AK9" i="20"/>
  <c r="AJ9" i="20" s="1"/>
  <c r="AH9" i="20" s="1"/>
  <c r="AL9" i="20" s="1"/>
  <c r="N11" i="24" s="1"/>
  <c r="AK4" i="19"/>
  <c r="AJ4" i="19" s="1"/>
  <c r="AH4" i="18"/>
  <c r="AL4" i="18" s="1"/>
  <c r="L6" i="24" s="1"/>
  <c r="AH7" i="19"/>
  <c r="AL7" i="19" s="1"/>
  <c r="M9" i="24" s="1"/>
  <c r="AK7" i="20"/>
  <c r="AJ7" i="20" s="1"/>
  <c r="AH7" i="20" s="1"/>
  <c r="AL7" i="20" s="1"/>
  <c r="N9" i="24" s="1"/>
  <c r="AH5" i="18"/>
  <c r="AL5" i="18" s="1"/>
  <c r="L7" i="24" s="1"/>
  <c r="AK5" i="19"/>
  <c r="AJ5" i="19" s="1"/>
  <c r="AH20" i="18"/>
  <c r="AL20" i="18" s="1"/>
  <c r="L22" i="24" s="1"/>
  <c r="AK20" i="19"/>
  <c r="AJ20" i="19" s="1"/>
  <c r="AH13" i="18"/>
  <c r="AL13" i="18" s="1"/>
  <c r="L15" i="24" s="1"/>
  <c r="AK13" i="19"/>
  <c r="AJ13" i="19" s="1"/>
  <c r="AK12" i="20"/>
  <c r="AJ12" i="20" s="1"/>
  <c r="AH12" i="20" s="1"/>
  <c r="AL12" i="20" s="1"/>
  <c r="N14" i="24" s="1"/>
  <c r="AH12" i="19"/>
  <c r="AL12" i="19" s="1"/>
  <c r="M14" i="24" s="1"/>
  <c r="AK4" i="20" l="1"/>
  <c r="AJ4" i="20" s="1"/>
  <c r="AH4" i="20" s="1"/>
  <c r="AL4" i="20" s="1"/>
  <c r="N6" i="24" s="1"/>
  <c r="AH4" i="19"/>
  <c r="AL4" i="19" s="1"/>
  <c r="M6" i="24" s="1"/>
  <c r="AH22" i="19"/>
  <c r="AL22" i="19" s="1"/>
  <c r="M24" i="24" s="1"/>
  <c r="AK22" i="20"/>
  <c r="AJ22" i="20" s="1"/>
  <c r="AH22" i="20" s="1"/>
  <c r="AL22" i="20" s="1"/>
  <c r="N24" i="24" s="1"/>
  <c r="AH17" i="19"/>
  <c r="AL17" i="19" s="1"/>
  <c r="M19" i="24" s="1"/>
  <c r="AK17" i="20"/>
  <c r="AJ17" i="20" s="1"/>
  <c r="AH17" i="20" s="1"/>
  <c r="AL17" i="20" s="1"/>
  <c r="N19" i="24" s="1"/>
  <c r="AK18" i="20"/>
  <c r="AJ18" i="20" s="1"/>
  <c r="AH18" i="20" s="1"/>
  <c r="AL18" i="20" s="1"/>
  <c r="N20" i="24" s="1"/>
  <c r="AH18" i="19"/>
  <c r="AL18" i="19" s="1"/>
  <c r="M20" i="24" s="1"/>
  <c r="AK20" i="20"/>
  <c r="AJ20" i="20" s="1"/>
  <c r="AH20" i="20" s="1"/>
  <c r="AL20" i="20" s="1"/>
  <c r="N22" i="24" s="1"/>
  <c r="AH20" i="19"/>
  <c r="AL20" i="19" s="1"/>
  <c r="M22" i="24" s="1"/>
  <c r="AH21" i="19"/>
  <c r="AL21" i="19" s="1"/>
  <c r="M23" i="24" s="1"/>
  <c r="AK21" i="20"/>
  <c r="AJ21" i="20" s="1"/>
  <c r="AH21" i="20" s="1"/>
  <c r="AL21" i="20" s="1"/>
  <c r="N23" i="24" s="1"/>
  <c r="AH19" i="19"/>
  <c r="AL19" i="19" s="1"/>
  <c r="M21" i="24" s="1"/>
  <c r="AK19" i="20"/>
  <c r="AJ19" i="20" s="1"/>
  <c r="AH19" i="20" s="1"/>
  <c r="AL19" i="20" s="1"/>
  <c r="N21" i="24" s="1"/>
  <c r="AK13" i="20"/>
  <c r="AJ13" i="20" s="1"/>
  <c r="AH13" i="20" s="1"/>
  <c r="AL13" i="20" s="1"/>
  <c r="N15" i="24" s="1"/>
  <c r="AH13" i="19"/>
  <c r="AL13" i="19" s="1"/>
  <c r="M15" i="24" s="1"/>
  <c r="AK5" i="20"/>
  <c r="AJ5" i="20" s="1"/>
  <c r="AH5" i="20" s="1"/>
  <c r="AL5" i="20" s="1"/>
  <c r="N7" i="24" s="1"/>
  <c r="AH5" i="19"/>
  <c r="AL5" i="19" s="1"/>
  <c r="M7" i="24" s="1"/>
  <c r="AH8" i="19"/>
  <c r="AL8" i="19" s="1"/>
  <c r="M10" i="24" s="1"/>
  <c r="AK8" i="20"/>
  <c r="AJ8" i="20" s="1"/>
  <c r="AH8" i="20" s="1"/>
  <c r="AL8" i="20" s="1"/>
  <c r="N10" i="24" s="1"/>
</calcChain>
</file>

<file path=xl/sharedStrings.xml><?xml version="1.0" encoding="utf-8"?>
<sst xmlns="http://schemas.openxmlformats.org/spreadsheetml/2006/main" count="2081" uniqueCount="159">
  <si>
    <t>Start. Poz.</t>
  </si>
  <si>
    <t>Umístění</t>
  </si>
  <si>
    <t>Tým</t>
  </si>
  <si>
    <t>LP</t>
  </si>
  <si>
    <t>PP</t>
  </si>
  <si>
    <t>Výsledný čas</t>
  </si>
  <si>
    <t>Svinov</t>
  </si>
  <si>
    <t>Body</t>
  </si>
  <si>
    <t>Týmy muži</t>
  </si>
  <si>
    <t>N</t>
  </si>
  <si>
    <t>Vrbice B</t>
  </si>
  <si>
    <t>Svoboda B</t>
  </si>
  <si>
    <t>Větřkovice</t>
  </si>
  <si>
    <t>Výškovice</t>
  </si>
  <si>
    <t>Služovice</t>
  </si>
  <si>
    <t>Štěpánkovice</t>
  </si>
  <si>
    <t>Závada</t>
  </si>
  <si>
    <t>Kobeřice</t>
  </si>
  <si>
    <t>Kozmice B</t>
  </si>
  <si>
    <t>Píšť</t>
  </si>
  <si>
    <t>Bělá</t>
  </si>
  <si>
    <t>Bohuslavice</t>
  </si>
  <si>
    <t>Markvartovice</t>
  </si>
  <si>
    <t>Rohov</t>
  </si>
  <si>
    <t>Vřesina</t>
  </si>
  <si>
    <t>Strahovice</t>
  </si>
  <si>
    <t>Týmy ženy</t>
  </si>
  <si>
    <t xml:space="preserve"> </t>
  </si>
  <si>
    <t>Pořadí po 4. kole NHHL - MUŽI</t>
  </si>
  <si>
    <t>Pořadí po 4. kole NHHL - ŽENY</t>
  </si>
  <si>
    <t>Bohuslavice B</t>
  </si>
  <si>
    <t>Kokory</t>
  </si>
  <si>
    <t>Břidličná</t>
  </si>
  <si>
    <t>Bohuslavice A</t>
  </si>
  <si>
    <t>Svinov B</t>
  </si>
  <si>
    <t>Vrbice</t>
  </si>
  <si>
    <t>Děhylov</t>
  </si>
  <si>
    <t>Těrlicko Hradiště</t>
  </si>
  <si>
    <t>Muglinov</t>
  </si>
  <si>
    <t>Fryčovice</t>
  </si>
  <si>
    <t>Boleslav PL</t>
  </si>
  <si>
    <t>1.</t>
  </si>
  <si>
    <t>22.</t>
  </si>
  <si>
    <t>35.</t>
  </si>
  <si>
    <t>3.</t>
  </si>
  <si>
    <t xml:space="preserve">19. </t>
  </si>
  <si>
    <t>31.</t>
  </si>
  <si>
    <t xml:space="preserve">26. </t>
  </si>
  <si>
    <t>8.</t>
  </si>
  <si>
    <t>16.</t>
  </si>
  <si>
    <t>17.</t>
  </si>
  <si>
    <t>11.</t>
  </si>
  <si>
    <t>14.</t>
  </si>
  <si>
    <t>33.</t>
  </si>
  <si>
    <t>29.</t>
  </si>
  <si>
    <t>5.</t>
  </si>
  <si>
    <t>34.</t>
  </si>
  <si>
    <t>18.</t>
  </si>
  <si>
    <t>28.</t>
  </si>
  <si>
    <t>30.</t>
  </si>
  <si>
    <t>10.</t>
  </si>
  <si>
    <t>13.</t>
  </si>
  <si>
    <t>15.</t>
  </si>
  <si>
    <t>32.</t>
  </si>
  <si>
    <t>Datum</t>
  </si>
  <si>
    <t>2.</t>
  </si>
  <si>
    <t>4.</t>
  </si>
  <si>
    <t>6.</t>
  </si>
  <si>
    <t>7.</t>
  </si>
  <si>
    <t>9.</t>
  </si>
  <si>
    <t>12.</t>
  </si>
  <si>
    <t>Svoboda</t>
  </si>
  <si>
    <t>Kozmice</t>
  </si>
  <si>
    <t>Sloupec1</t>
  </si>
  <si>
    <t>Sloupec2</t>
  </si>
  <si>
    <t>Sloupec3</t>
  </si>
  <si>
    <t>Sloupec4</t>
  </si>
  <si>
    <t>Sloupec5</t>
  </si>
  <si>
    <t>Sloupec6</t>
  </si>
  <si>
    <t>Sloupec7</t>
  </si>
  <si>
    <t>Sloupec8</t>
  </si>
  <si>
    <t>Sloupec9</t>
  </si>
  <si>
    <t>Sloupec10</t>
  </si>
  <si>
    <t>Sloupec11</t>
  </si>
  <si>
    <t>Sloupec12</t>
  </si>
  <si>
    <t>Sloupec13</t>
  </si>
  <si>
    <t>Sloupec14</t>
  </si>
  <si>
    <t>Sloupec15</t>
  </si>
  <si>
    <t>Sloupec16</t>
  </si>
  <si>
    <t>Prchalov B</t>
  </si>
  <si>
    <t>Svoboda A</t>
  </si>
  <si>
    <t>Petřvald 2 - Petřvaldík</t>
  </si>
  <si>
    <t>Dolní Životice</t>
  </si>
  <si>
    <t>Dolní Životice dorost</t>
  </si>
  <si>
    <t>Odry</t>
  </si>
  <si>
    <t>Klimkovice</t>
  </si>
  <si>
    <t>Markvartovice B</t>
  </si>
  <si>
    <t>počet týmů muži</t>
  </si>
  <si>
    <t>počet týmů ženy</t>
  </si>
  <si>
    <t>23.</t>
  </si>
  <si>
    <t>21.</t>
  </si>
  <si>
    <t>20.</t>
  </si>
  <si>
    <t>25.</t>
  </si>
  <si>
    <t>NEÚČAST</t>
  </si>
  <si>
    <t>19.</t>
  </si>
  <si>
    <t>27.</t>
  </si>
  <si>
    <t>24.</t>
  </si>
  <si>
    <t>26.</t>
  </si>
  <si>
    <t>ÚČAST</t>
  </si>
  <si>
    <t>KOREKCE</t>
  </si>
  <si>
    <t>PRŮBĚŽNÉ UMÍSTĚNÍ ŽEN - NHHL 2023</t>
  </si>
  <si>
    <t>PRŮBĚŽNÉ UMÍSTĚNÍ MUŽI - NHHL 2023</t>
  </si>
  <si>
    <t>Dolní Lišná</t>
  </si>
  <si>
    <t>Kozlovice</t>
  </si>
  <si>
    <t>Dolní Lhota</t>
  </si>
  <si>
    <t>Brušperk</t>
  </si>
  <si>
    <t>D</t>
  </si>
  <si>
    <t>Tošovice</t>
  </si>
  <si>
    <t>Starý Bohumín</t>
  </si>
  <si>
    <t>Sloupec17</t>
  </si>
  <si>
    <t>ZÍSKANÉ BODY MUŽI - NHHL 2023</t>
  </si>
  <si>
    <t>SOUČET BODŮ</t>
  </si>
  <si>
    <t>UMÍSTĚNÍ</t>
  </si>
  <si>
    <t>Sloupec18</t>
  </si>
  <si>
    <t>ZÍSKANÉ BODY ŽENY - NHHL 2023</t>
  </si>
  <si>
    <t>OSP Borucin (PL)</t>
  </si>
  <si>
    <t>Bělá (mimo soutěž)</t>
  </si>
  <si>
    <t>Bělá B</t>
  </si>
  <si>
    <t>37.</t>
  </si>
  <si>
    <t>36.</t>
  </si>
  <si>
    <t>Pořadí po 6. kole NHHL - ŽENY</t>
  </si>
  <si>
    <t>Pořadí po 6. kole NHHL - MUŽI</t>
  </si>
  <si>
    <t>Pořadí po 7. kole NHHL - ŽENY</t>
  </si>
  <si>
    <t>Pořadí po 7. kole NHHL - MUŽI</t>
  </si>
  <si>
    <t>Pořadí po 8. kole NHHL - MUŽI</t>
  </si>
  <si>
    <t>Pořadí po 8. kole NHHL - ŽENY</t>
  </si>
  <si>
    <t>Pořadí po 9. kole NHHL - ŽENY</t>
  </si>
  <si>
    <t>Pořadí po 9. kole NHHL - MUŽI</t>
  </si>
  <si>
    <t>Pořadí po 10. kole NHHL - ŽENY</t>
  </si>
  <si>
    <t>Pořadí po 10. kole NHHL - MUŽI</t>
  </si>
  <si>
    <t>Pořadí po 11. kole NHHL - ŽENY</t>
  </si>
  <si>
    <t>Pořadí po 11. kole NHHL - MUŽI</t>
  </si>
  <si>
    <t>Pořadí po 12. kole NHHL - ŽENY</t>
  </si>
  <si>
    <t>Pořadí po 12. kole NHHL - MUŽI</t>
  </si>
  <si>
    <t>Pořadí po 13. kole NHHL - ŽENY</t>
  </si>
  <si>
    <t>Pořadí po 13. kole NHHL - MUŽI</t>
  </si>
  <si>
    <t>Pořadí po 14. kole NHHL - ŽENY</t>
  </si>
  <si>
    <t>Pořadí po 14. kole NHHL - MUŽI</t>
  </si>
  <si>
    <t>Pořadí po 15. kole NHHL - ŽENY</t>
  </si>
  <si>
    <t>Pořadí po 15. kole NHHL - MUŽI</t>
  </si>
  <si>
    <t xml:space="preserve">Odry </t>
  </si>
  <si>
    <t xml:space="preserve">Oprechtice </t>
  </si>
  <si>
    <t>Dolní Životice (dorost)</t>
  </si>
  <si>
    <t>Dolní Životice A</t>
  </si>
  <si>
    <t>Bystřička</t>
  </si>
  <si>
    <t>Borová (mimo soutěž)</t>
  </si>
  <si>
    <t xml:space="preserve">2. </t>
  </si>
  <si>
    <t>38.</t>
  </si>
  <si>
    <t>42.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</si>
</sst>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00"/>
    <numFmt numFmtId="165" formatCode="[$-F800]dddd\,\ mmmm\ dd\,\ yyyy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scheme val="minor"/>
    </font>
    <font>
      <sz val="20"/>
      <color rgb="FF000000"/>
      <name val="Calibri"/>
      <family val="2"/>
    </font>
    <font>
      <sz val="2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name val="Calibri"/>
      <family val="2"/>
      <charset val="238"/>
      <scheme val="minor"/>
    </font>
    <font>
      <sz val="20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rgb="FFE4E6EB"/>
      <name val="Segoe UI Historic"/>
      <family val="2"/>
    </font>
    <font>
      <sz val="22"/>
      <color theme="1"/>
      <name val="Calibri"/>
      <family val="2"/>
      <charset val="238"/>
      <scheme val="minor"/>
    </font>
    <font>
      <sz val="22"/>
      <color theme="1"/>
      <name val="Arial"/>
      <family val="2"/>
      <charset val="238"/>
    </font>
    <font>
      <sz val="22"/>
      <name val="Arial"/>
      <family val="2"/>
      <charset val="238"/>
    </font>
    <font>
      <sz val="22"/>
      <name val="Calibri"/>
      <family val="2"/>
      <charset val="238"/>
      <scheme val="minor"/>
    </font>
    <font>
      <sz val="22"/>
      <color rgb="FF000000"/>
      <name val="Calibri"/>
      <family val="2"/>
      <charset val="238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A8000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9999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000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6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1" xfId="1" applyNumberFormat="1" applyFont="1" applyBorder="1" applyAlignment="1" applyProtection="1">
      <alignment horizontal="center" vertical="center"/>
      <protection locked="0" hidden="1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164" fontId="2" fillId="0" borderId="0" xfId="1" applyNumberFormat="1" applyFont="1" applyAlignment="1" applyProtection="1">
      <alignment horizontal="center" vertical="center"/>
      <protection locked="0" hidden="1"/>
    </xf>
    <xf numFmtId="0" fontId="2" fillId="0" borderId="9" xfId="0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2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164" fontId="2" fillId="0" borderId="34" xfId="1" applyNumberFormat="1" applyFont="1" applyBorder="1" applyAlignment="1" applyProtection="1">
      <alignment horizontal="center" vertical="center"/>
      <protection locked="0" hidden="1"/>
    </xf>
    <xf numFmtId="0" fontId="4" fillId="0" borderId="0" xfId="1" applyFont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4" fontId="0" fillId="0" borderId="0" xfId="0" applyNumberFormat="1"/>
    <xf numFmtId="0" fontId="7" fillId="0" borderId="4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7" xfId="1" applyFont="1" applyBorder="1" applyAlignment="1">
      <alignment horizontal="left" vertical="center"/>
    </xf>
    <xf numFmtId="164" fontId="2" fillId="0" borderId="27" xfId="1" applyNumberFormat="1" applyFont="1" applyBorder="1" applyAlignment="1" applyProtection="1">
      <alignment horizontal="center" vertical="center"/>
      <protection locked="0" hidden="1"/>
    </xf>
    <xf numFmtId="164" fontId="2" fillId="0" borderId="2" xfId="1" applyNumberFormat="1" applyFont="1" applyBorder="1" applyAlignment="1" applyProtection="1">
      <alignment horizontal="center" vertical="center"/>
      <protection locked="0" hidden="1"/>
    </xf>
    <xf numFmtId="0" fontId="3" fillId="0" borderId="4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center"/>
    </xf>
    <xf numFmtId="164" fontId="2" fillId="0" borderId="4" xfId="1" applyNumberFormat="1" applyFont="1" applyBorder="1" applyAlignment="1" applyProtection="1">
      <alignment horizontal="center" vertical="center"/>
      <protection locked="0" hidden="1"/>
    </xf>
    <xf numFmtId="0" fontId="2" fillId="0" borderId="34" xfId="1" applyFont="1" applyBorder="1" applyAlignment="1">
      <alignment horizontal="left" vertical="center"/>
    </xf>
    <xf numFmtId="0" fontId="2" fillId="0" borderId="30" xfId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left" vertical="center"/>
    </xf>
    <xf numFmtId="164" fontId="2" fillId="0" borderId="11" xfId="1" applyNumberFormat="1" applyFont="1" applyBorder="1" applyAlignment="1" applyProtection="1">
      <alignment horizontal="center" vertical="center"/>
      <protection locked="0" hidden="1"/>
    </xf>
    <xf numFmtId="0" fontId="2" fillId="0" borderId="5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4" fontId="17" fillId="8" borderId="1" xfId="0" applyNumberFormat="1" applyFont="1" applyFill="1" applyBorder="1" applyAlignment="1">
      <alignment horizontal="center" vertical="center"/>
    </xf>
    <xf numFmtId="164" fontId="17" fillId="0" borderId="4" xfId="0" applyNumberFormat="1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2" xfId="0" applyNumberFormat="1" applyFont="1" applyBorder="1" applyAlignment="1">
      <alignment horizontal="center" vertical="center"/>
    </xf>
    <xf numFmtId="164" fontId="17" fillId="9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164" fontId="17" fillId="8" borderId="2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4" fillId="0" borderId="7" xfId="0" applyFont="1" applyBorder="1" applyAlignment="1">
      <alignment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164" fontId="17" fillId="10" borderId="4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/>
    <xf numFmtId="0" fontId="14" fillId="0" borderId="1" xfId="0" applyFont="1" applyBorder="1"/>
    <xf numFmtId="0" fontId="18" fillId="0" borderId="1" xfId="0" applyFont="1" applyBorder="1"/>
    <xf numFmtId="0" fontId="14" fillId="0" borderId="1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164" fontId="2" fillId="10" borderId="4" xfId="1" applyNumberFormat="1" applyFont="1" applyFill="1" applyBorder="1" applyAlignment="1" applyProtection="1">
      <alignment horizontal="center" vertical="center"/>
      <protection locked="0" hidden="1"/>
    </xf>
    <xf numFmtId="164" fontId="14" fillId="11" borderId="1" xfId="0" applyNumberFormat="1" applyFont="1" applyFill="1" applyBorder="1" applyAlignment="1">
      <alignment horizontal="center" vertical="center"/>
    </xf>
    <xf numFmtId="0" fontId="17" fillId="0" borderId="56" xfId="0" applyFont="1" applyBorder="1"/>
    <xf numFmtId="164" fontId="17" fillId="0" borderId="56" xfId="0" applyNumberFormat="1" applyFont="1" applyBorder="1" applyAlignment="1">
      <alignment horizontal="center" vertical="center"/>
    </xf>
    <xf numFmtId="0" fontId="21" fillId="0" borderId="5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65" fontId="0" fillId="0" borderId="0" xfId="0" applyNumberFormat="1"/>
    <xf numFmtId="2" fontId="0" fillId="0" borderId="0" xfId="0" applyNumberFormat="1"/>
    <xf numFmtId="0" fontId="7" fillId="0" borderId="43" xfId="0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14" fontId="22" fillId="0" borderId="25" xfId="0" applyNumberFormat="1" applyFont="1" applyBorder="1" applyAlignment="1">
      <alignment horizontal="center"/>
    </xf>
    <xf numFmtId="14" fontId="22" fillId="0" borderId="26" xfId="0" applyNumberFormat="1" applyFont="1" applyBorder="1" applyAlignment="1">
      <alignment horizontal="center"/>
    </xf>
    <xf numFmtId="0" fontId="22" fillId="12" borderId="15" xfId="0" applyFont="1" applyFill="1" applyBorder="1" applyAlignment="1">
      <alignment horizontal="center"/>
    </xf>
    <xf numFmtId="0" fontId="22" fillId="12" borderId="65" xfId="0" applyFont="1" applyFill="1" applyBorder="1" applyAlignment="1">
      <alignment horizontal="center"/>
    </xf>
    <xf numFmtId="0" fontId="22" fillId="12" borderId="66" xfId="0" applyFont="1" applyFill="1" applyBorder="1" applyAlignment="1">
      <alignment horizontal="center"/>
    </xf>
    <xf numFmtId="0" fontId="22" fillId="12" borderId="67" xfId="0" applyFont="1" applyFill="1" applyBorder="1" applyAlignment="1">
      <alignment horizontal="center"/>
    </xf>
    <xf numFmtId="0" fontId="23" fillId="12" borderId="62" xfId="0" applyFont="1" applyFill="1" applyBorder="1" applyAlignment="1">
      <alignment horizontal="center" vertical="center"/>
    </xf>
    <xf numFmtId="0" fontId="23" fillId="12" borderId="63" xfId="0" applyFont="1" applyFill="1" applyBorder="1" applyAlignment="1">
      <alignment horizontal="center" vertical="center"/>
    </xf>
    <xf numFmtId="0" fontId="23" fillId="12" borderId="64" xfId="0" applyFont="1" applyFill="1" applyBorder="1" applyAlignment="1">
      <alignment horizontal="center" vertical="center"/>
    </xf>
    <xf numFmtId="0" fontId="22" fillId="12" borderId="6" xfId="0" applyFont="1" applyFill="1" applyBorder="1" applyAlignment="1">
      <alignment horizontal="center"/>
    </xf>
    <xf numFmtId="0" fontId="22" fillId="12" borderId="30" xfId="0" applyFont="1" applyFill="1" applyBorder="1" applyAlignment="1">
      <alignment horizontal="center"/>
    </xf>
    <xf numFmtId="0" fontId="22" fillId="5" borderId="45" xfId="0" applyFont="1" applyFill="1" applyBorder="1" applyAlignment="1">
      <alignment horizontal="center"/>
    </xf>
    <xf numFmtId="14" fontId="22" fillId="5" borderId="6" xfId="0" applyNumberFormat="1" applyFont="1" applyFill="1" applyBorder="1" applyAlignment="1">
      <alignment horizontal="center"/>
    </xf>
    <xf numFmtId="0" fontId="22" fillId="5" borderId="30" xfId="0" applyFont="1" applyFill="1" applyBorder="1" applyAlignment="1">
      <alignment horizontal="center"/>
    </xf>
    <xf numFmtId="0" fontId="23" fillId="5" borderId="62" xfId="0" applyFont="1" applyFill="1" applyBorder="1" applyAlignment="1">
      <alignment horizontal="center" vertical="center"/>
    </xf>
    <xf numFmtId="0" fontId="23" fillId="5" borderId="63" xfId="0" applyFont="1" applyFill="1" applyBorder="1" applyAlignment="1">
      <alignment horizontal="center" vertical="center"/>
    </xf>
    <xf numFmtId="0" fontId="24" fillId="5" borderId="63" xfId="0" applyFont="1" applyFill="1" applyBorder="1" applyAlignment="1">
      <alignment horizontal="center" vertical="center"/>
    </xf>
    <xf numFmtId="0" fontId="24" fillId="5" borderId="64" xfId="0" applyFont="1" applyFill="1" applyBorder="1" applyAlignment="1">
      <alignment horizontal="center" vertical="center"/>
    </xf>
    <xf numFmtId="0" fontId="22" fillId="5" borderId="41" xfId="0" applyFont="1" applyFill="1" applyBorder="1" applyAlignment="1">
      <alignment horizontal="center"/>
    </xf>
    <xf numFmtId="0" fontId="22" fillId="5" borderId="42" xfId="0" applyFont="1" applyFill="1" applyBorder="1" applyAlignment="1">
      <alignment horizontal="center"/>
    </xf>
    <xf numFmtId="0" fontId="22" fillId="5" borderId="53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2" fontId="2" fillId="0" borderId="9" xfId="0" applyNumberFormat="1" applyFont="1" applyBorder="1" applyAlignment="1">
      <alignment horizontal="center" vertical="center"/>
    </xf>
    <xf numFmtId="164" fontId="2" fillId="11" borderId="0" xfId="1" applyNumberFormat="1" applyFont="1" applyFill="1" applyAlignment="1" applyProtection="1">
      <alignment horizontal="center" vertical="center"/>
      <protection locked="0" hidden="1"/>
    </xf>
    <xf numFmtId="164" fontId="2" fillId="10" borderId="1" xfId="1" applyNumberFormat="1" applyFont="1" applyFill="1" applyBorder="1" applyAlignment="1" applyProtection="1">
      <alignment horizontal="center" vertical="center"/>
      <protection locked="0" hidden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0" fillId="0" borderId="8" xfId="0" applyBorder="1"/>
    <xf numFmtId="0" fontId="25" fillId="0" borderId="4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70" xfId="0" applyFont="1" applyBorder="1" applyAlignment="1">
      <alignment horizontal="center"/>
    </xf>
    <xf numFmtId="0" fontId="23" fillId="0" borderId="71" xfId="0" applyFont="1" applyBorder="1" applyAlignment="1">
      <alignment horizontal="center"/>
    </xf>
    <xf numFmtId="0" fontId="22" fillId="5" borderId="58" xfId="0" applyFont="1" applyFill="1" applyBorder="1" applyAlignment="1">
      <alignment horizontal="center"/>
    </xf>
    <xf numFmtId="0" fontId="22" fillId="5" borderId="68" xfId="0" applyFont="1" applyFill="1" applyBorder="1" applyAlignment="1">
      <alignment horizontal="center"/>
    </xf>
    <xf numFmtId="0" fontId="22" fillId="12" borderId="58" xfId="0" applyFont="1" applyFill="1" applyBorder="1" applyAlignment="1">
      <alignment horizontal="center"/>
    </xf>
    <xf numFmtId="0" fontId="22" fillId="12" borderId="68" xfId="0" applyFont="1" applyFill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63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" fillId="0" borderId="24" xfId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1" applyFont="1" applyBorder="1" applyAlignment="1">
      <alignment horizontal="left" vertical="center"/>
    </xf>
    <xf numFmtId="164" fontId="2" fillId="0" borderId="25" xfId="1" applyNumberFormat="1" applyFont="1" applyBorder="1" applyAlignment="1" applyProtection="1">
      <alignment horizontal="center" vertical="center"/>
      <protection locked="0" hidden="1"/>
    </xf>
    <xf numFmtId="0" fontId="2" fillId="0" borderId="4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7" fillId="0" borderId="43" xfId="0" applyFont="1" applyBorder="1"/>
    <xf numFmtId="164" fontId="17" fillId="0" borderId="43" xfId="0" applyNumberFormat="1" applyFont="1" applyBorder="1" applyAlignment="1">
      <alignment horizontal="center" vertical="center"/>
    </xf>
    <xf numFmtId="0" fontId="25" fillId="13" borderId="55" xfId="0" applyFont="1" applyFill="1" applyBorder="1" applyAlignment="1">
      <alignment horizontal="center"/>
    </xf>
    <xf numFmtId="0" fontId="25" fillId="13" borderId="56" xfId="0" applyFont="1" applyFill="1" applyBorder="1" applyAlignment="1">
      <alignment horizontal="center"/>
    </xf>
    <xf numFmtId="0" fontId="25" fillId="13" borderId="61" xfId="0" applyFont="1" applyFill="1" applyBorder="1" applyAlignment="1">
      <alignment horizontal="center"/>
    </xf>
    <xf numFmtId="0" fontId="25" fillId="2" borderId="65" xfId="0" applyFont="1" applyFill="1" applyBorder="1" applyAlignment="1">
      <alignment horizontal="center"/>
    </xf>
    <xf numFmtId="0" fontId="25" fillId="2" borderId="66" xfId="0" applyFont="1" applyFill="1" applyBorder="1" applyAlignment="1">
      <alignment horizontal="center"/>
    </xf>
    <xf numFmtId="0" fontId="25" fillId="2" borderId="67" xfId="0" applyFont="1" applyFill="1" applyBorder="1" applyAlignment="1">
      <alignment horizontal="center"/>
    </xf>
    <xf numFmtId="0" fontId="25" fillId="2" borderId="58" xfId="0" applyFont="1" applyFill="1" applyBorder="1" applyAlignment="1">
      <alignment horizontal="center"/>
    </xf>
    <xf numFmtId="0" fontId="25" fillId="2" borderId="59" xfId="0" applyFont="1" applyFill="1" applyBorder="1" applyAlignment="1">
      <alignment horizontal="center"/>
    </xf>
    <xf numFmtId="0" fontId="25" fillId="2" borderId="60" xfId="0" applyFont="1" applyFill="1" applyBorder="1" applyAlignment="1">
      <alignment horizontal="center"/>
    </xf>
    <xf numFmtId="0" fontId="25" fillId="13" borderId="58" xfId="0" applyFont="1" applyFill="1" applyBorder="1" applyAlignment="1">
      <alignment horizontal="center"/>
    </xf>
    <xf numFmtId="0" fontId="25" fillId="13" borderId="59" xfId="0" applyFont="1" applyFill="1" applyBorder="1" applyAlignment="1">
      <alignment horizontal="center"/>
    </xf>
    <xf numFmtId="0" fontId="25" fillId="13" borderId="60" xfId="0" applyFont="1" applyFill="1" applyBorder="1" applyAlignment="1">
      <alignment horizontal="center"/>
    </xf>
    <xf numFmtId="0" fontId="6" fillId="2" borderId="6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6" fillId="3" borderId="65" xfId="0" applyFont="1" applyFill="1" applyBorder="1" applyAlignment="1">
      <alignment horizontal="center" vertical="center"/>
    </xf>
    <xf numFmtId="0" fontId="6" fillId="3" borderId="66" xfId="0" applyFont="1" applyFill="1" applyBorder="1" applyAlignment="1">
      <alignment horizontal="center" vertical="center"/>
    </xf>
    <xf numFmtId="0" fontId="6" fillId="3" borderId="6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2" fontId="2" fillId="0" borderId="0" xfId="1" applyNumberFormat="1" applyFont="1" applyAlignment="1" applyProtection="1">
      <alignment horizontal="center" vertical="center"/>
      <protection locked="0" hidden="1"/>
    </xf>
    <xf numFmtId="2" fontId="2" fillId="0" borderId="0" xfId="0" applyNumberFormat="1" applyFont="1" applyAlignment="1">
      <alignment horizontal="center" vertical="center"/>
    </xf>
    <xf numFmtId="2" fontId="2" fillId="0" borderId="1" xfId="1" applyNumberFormat="1" applyFont="1" applyBorder="1" applyAlignment="1" applyProtection="1">
      <alignment horizontal="center" vertical="center"/>
      <protection locked="0" hidden="1"/>
    </xf>
    <xf numFmtId="2" fontId="2" fillId="0" borderId="27" xfId="1" applyNumberFormat="1" applyFont="1" applyBorder="1" applyAlignment="1" applyProtection="1">
      <alignment horizontal="center" vertical="center"/>
      <protection locked="0" hidden="1"/>
    </xf>
    <xf numFmtId="2" fontId="2" fillId="0" borderId="2" xfId="1" applyNumberFormat="1" applyFont="1" applyBorder="1" applyAlignment="1" applyProtection="1">
      <alignment horizontal="center" vertical="center"/>
      <protection locked="0" hidden="1"/>
    </xf>
    <xf numFmtId="2" fontId="2" fillId="0" borderId="4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164" fontId="2" fillId="11" borderId="4" xfId="1" applyNumberFormat="1" applyFont="1" applyFill="1" applyBorder="1" applyAlignment="1" applyProtection="1">
      <alignment horizontal="center" vertical="center"/>
      <protection locked="0" hidden="1"/>
    </xf>
  </cellXfs>
  <cellStyles count="2">
    <cellStyle name="Normální" xfId="0" builtinId="0"/>
    <cellStyle name="Normální 2" xfId="1" xr:uid="{E6C2E5D4-0D73-43F6-AC18-9E21981F3D5F}"/>
  </cellStyles>
  <dxfs count="907"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2" formatCode="0.00"/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outline="0">
        <left style="medium">
          <color indexed="64"/>
        </left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2" formatCode="0.00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2" formatCode="0.00"/>
      <alignment horizontal="center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2" formatCode="0.00"/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auto="1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1" formatCode="0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auto="1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1" formatCode="0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outline="0">
        <left style="medium">
          <color indexed="64"/>
        </left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2" formatCode="0.00"/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1" formatCode="0"/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medium">
          <color auto="1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1" formatCode="0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22"/>
        <color auto="1"/>
        <name val="Calibri"/>
        <family val="2"/>
        <charset val="238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22"/>
        <color auto="1"/>
        <name val="Calibri"/>
        <family val="2"/>
        <charset val="238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22"/>
        <name val="Calibri"/>
        <family val="2"/>
        <charset val="238"/>
        <scheme val="minor"/>
      </font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20"/>
        <name val="Calibri"/>
        <family val="2"/>
        <charset val="238"/>
        <scheme val="minor"/>
      </font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auto="1"/>
        </vertical>
      </border>
    </dxf>
    <dxf>
      <font>
        <strike val="0"/>
        <outline val="0"/>
        <shadow val="0"/>
        <u val="none"/>
        <vertAlign val="baseline"/>
        <sz val="22"/>
        <color auto="1"/>
        <name val="Calibri"/>
        <family val="2"/>
        <charset val="238"/>
        <scheme val="minor"/>
      </font>
      <numFmt numFmtId="164" formatCode="0.0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</border>
    </dxf>
    <dxf>
      <font>
        <strike val="0"/>
        <outline val="0"/>
        <shadow val="0"/>
        <u val="none"/>
        <vertAlign val="baseline"/>
        <sz val="22"/>
        <color auto="1"/>
        <name val="Calibri"/>
        <family val="2"/>
        <charset val="238"/>
        <scheme val="minor"/>
      </font>
      <numFmt numFmtId="164" formatCode="0.0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</border>
    </dxf>
    <dxf>
      <font>
        <strike val="0"/>
        <outline val="0"/>
        <shadow val="0"/>
        <u val="none"/>
        <vertAlign val="baseline"/>
        <sz val="22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</border>
    </dxf>
    <dxf>
      <font>
        <strike val="0"/>
        <outline val="0"/>
        <shadow val="0"/>
        <u val="none"/>
        <vertAlign val="baseline"/>
        <sz val="22"/>
        <color auto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medium">
          <color auto="1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1" formatCode="0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medium">
          <color auto="1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1" formatCode="0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outline="0"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color rgb="FF000000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22"/>
        <color auto="1"/>
        <name val="Calibri"/>
        <family val="2"/>
        <charset val="238"/>
        <scheme val="minor"/>
      </font>
      <numFmt numFmtId="164" formatCode="0.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2"/>
        <color auto="1"/>
        <name val="Calibri"/>
        <family val="2"/>
        <charset val="238"/>
        <scheme val="minor"/>
      </font>
      <numFmt numFmtId="164" formatCode="0.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2"/>
        <color auto="1"/>
        <name val="Calibri"/>
        <family val="2"/>
        <charset val="238"/>
        <scheme val="minor"/>
      </font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right style="thin">
          <color auto="1"/>
        </right>
      </border>
    </dxf>
    <dxf>
      <font>
        <strike val="0"/>
        <outline val="0"/>
        <shadow val="0"/>
        <u val="none"/>
        <vertAlign val="baseline"/>
        <sz val="22"/>
        <name val="Calibri"/>
        <family val="2"/>
        <charset val="238"/>
        <scheme val="minor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charset val="238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charset val="238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none"/>
      </font>
      <alignment horizontal="center" vertical="center" textRotation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solid">
          <fgColor indexed="64"/>
          <bgColor rgb="FFFF7C8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6"/>
        <color rgb="FF000000"/>
        <name val="Calibri"/>
        <family val="2"/>
        <scheme val="minor"/>
      </font>
      <numFmt numFmtId="0" formatCode="General"/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solid">
          <fgColor indexed="64"/>
          <bgColor rgb="FFFF7C8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6"/>
        <color rgb="FF000000"/>
        <name val="Calibri"/>
        <family val="2"/>
        <scheme val="minor"/>
      </font>
      <numFmt numFmtId="0" formatCode="General"/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  <scheme val="minor"/>
      </font>
    </dxf>
    <dxf>
      <fill>
        <patternFill>
          <bgColor rgb="FFFF7C80"/>
        </patternFill>
      </fill>
    </dxf>
    <dxf>
      <border>
        <left style="medium">
          <color auto="1"/>
        </left>
        <right style="medium">
          <color auto="1"/>
        </right>
        <top/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vertical style="thin">
          <color auto="1"/>
        </vertical>
        <horizontal style="thin">
          <color auto="1"/>
        </horizontal>
      </border>
    </dxf>
    <dxf>
      <fill>
        <patternFill>
          <bgColor theme="4" tint="0.39994506668294322"/>
        </patternFill>
      </fill>
    </dxf>
    <dxf>
      <border>
        <left style="medium">
          <color auto="1"/>
        </left>
        <right style="medium">
          <color auto="1"/>
        </right>
        <top/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3" defaultTableStyle="TableStyleMedium2" defaultPivotStyle="PivotStyleLight16">
    <tableStyle name="Invisible" pivot="0" table="0" count="0" xr9:uid="{FDDDD78F-75F2-4C8A-884F-F1C977C76A27}"/>
    <tableStyle name="Styl tabulky 1" pivot="0" count="3" xr9:uid="{3117B390-6F9B-4C26-BF89-6289500B23AA}">
      <tableStyleElement type="wholeTable" dxfId="906"/>
      <tableStyleElement type="headerRow" dxfId="905"/>
      <tableStyleElement type="lastColumn" dxfId="904"/>
    </tableStyle>
    <tableStyle name="Styl tabulky 1 2" pivot="0" count="2" xr9:uid="{5FEAC111-2B8C-4004-865E-FC1563D9185A}">
      <tableStyleElement type="wholeTable" dxfId="903"/>
      <tableStyleElement type="headerRow" dxfId="902"/>
    </tableStyle>
  </tableStyles>
  <colors>
    <mruColors>
      <color rgb="FFFF9999"/>
      <color rgb="FFFF7C80"/>
      <color rgb="FFA80004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NHHL MUŽI 2023</a:t>
            </a:r>
          </a:p>
        </c:rich>
      </c:tx>
      <c:layout>
        <c:manualLayout>
          <c:xMode val="edge"/>
          <c:yMode val="edge"/>
          <c:x val="0.44019772932540474"/>
          <c:y val="4.76845483723062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4.1131074831862235E-2"/>
          <c:y val="0.19402990032023162"/>
          <c:w val="0.91640757681025165"/>
          <c:h val="0.5627415005036337"/>
        </c:manualLayout>
      </c:layout>
      <c:lineChart>
        <c:grouping val="standard"/>
        <c:varyColors val="0"/>
        <c:ser>
          <c:idx val="0"/>
          <c:order val="0"/>
          <c:tx>
            <c:strRef>
              <c:f>Grafy!$B$6</c:f>
              <c:strCache>
                <c:ptCount val="1"/>
                <c:pt idx="0">
                  <c:v>Píšť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Grafy!$C$3:$Q$3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Grafy!$C$6:$Q$6</c:f>
              <c:numCache>
                <c:formatCode>General</c:formatCode>
                <c:ptCount val="12"/>
                <c:pt idx="0">
                  <c:v>16.276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6F-483F-9145-6779242A1C4E}"/>
            </c:ext>
          </c:extLst>
        </c:ser>
        <c:ser>
          <c:idx val="1"/>
          <c:order val="1"/>
          <c:tx>
            <c:strRef>
              <c:f>Grafy!$B$7</c:f>
              <c:strCache>
                <c:ptCount val="1"/>
                <c:pt idx="0">
                  <c:v>Bohuslavice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Grafy!$C$3:$Q$3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Grafy!$C$7:$Q$7</c:f>
              <c:numCache>
                <c:formatCode>General</c:formatCode>
                <c:ptCount val="12"/>
                <c:pt idx="0">
                  <c:v>2</c:v>
                </c:pt>
                <c:pt idx="1">
                  <c:v>10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6F-483F-9145-6779242A1C4E}"/>
            </c:ext>
          </c:extLst>
        </c:ser>
        <c:ser>
          <c:idx val="2"/>
          <c:order val="2"/>
          <c:tx>
            <c:strRef>
              <c:f>Grafy!$B$8</c:f>
              <c:strCache>
                <c:ptCount val="1"/>
                <c:pt idx="0">
                  <c:v>Markvartovice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strRef>
              <c:f>Grafy!$C$3:$Q$3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Grafy!$C$8:$Q$8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6F-483F-9145-6779242A1C4E}"/>
            </c:ext>
          </c:extLst>
        </c:ser>
        <c:ser>
          <c:idx val="3"/>
          <c:order val="3"/>
          <c:tx>
            <c:strRef>
              <c:f>Grafy!$B$9</c:f>
              <c:strCache>
                <c:ptCount val="1"/>
                <c:pt idx="0">
                  <c:v>Bělá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Grafy!$C$3:$Q$3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Grafy!$C$9:$Q$9</c:f>
              <c:numCache>
                <c:formatCode>General</c:formatCode>
                <c:ptCount val="12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6F-483F-9145-6779242A1C4E}"/>
            </c:ext>
          </c:extLst>
        </c:ser>
        <c:ser>
          <c:idx val="4"/>
          <c:order val="4"/>
          <c:tx>
            <c:strRef>
              <c:f>Grafy!$B$10</c:f>
              <c:strCache>
                <c:ptCount val="1"/>
                <c:pt idx="0">
                  <c:v>Svoboda B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Grafy!$C$3:$Q$3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Grafy!$C$10:$Q$10</c:f>
              <c:numCache>
                <c:formatCode>General</c:formatCode>
                <c:ptCount val="12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7</c:v>
                </c:pt>
                <c:pt idx="4">
                  <c:v>9</c:v>
                </c:pt>
                <c:pt idx="5">
                  <c:v>10</c:v>
                </c:pt>
                <c:pt idx="6">
                  <c:v>9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46F-483F-9145-6779242A1C4E}"/>
            </c:ext>
          </c:extLst>
        </c:ser>
        <c:ser>
          <c:idx val="5"/>
          <c:order val="5"/>
          <c:tx>
            <c:strRef>
              <c:f>Grafy!$B$11</c:f>
              <c:strCache>
                <c:ptCount val="1"/>
                <c:pt idx="0">
                  <c:v>Štěpánkovice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Grafy!$C$3:$Q$3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Grafy!$C$11:$Q$11</c:f>
              <c:numCache>
                <c:formatCode>General</c:formatCode>
                <c:ptCount val="12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8</c:v>
                </c:pt>
                <c:pt idx="4">
                  <c:v>7</c:v>
                </c:pt>
                <c:pt idx="5">
                  <c:v>11</c:v>
                </c:pt>
                <c:pt idx="6">
                  <c:v>9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46F-483F-9145-6779242A1C4E}"/>
            </c:ext>
          </c:extLst>
        </c:ser>
        <c:ser>
          <c:idx val="6"/>
          <c:order val="6"/>
          <c:tx>
            <c:strRef>
              <c:f>Grafy!$B$12</c:f>
              <c:strCache>
                <c:ptCount val="1"/>
                <c:pt idx="0">
                  <c:v>Vrbice B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Grafy!$C$3:$Q$3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Grafy!$C$12:$Q$12</c:f>
              <c:numCache>
                <c:formatCode>General</c:formatCode>
                <c:ptCount val="12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46F-483F-9145-6779242A1C4E}"/>
            </c:ext>
          </c:extLst>
        </c:ser>
        <c:ser>
          <c:idx val="7"/>
          <c:order val="7"/>
          <c:tx>
            <c:strRef>
              <c:f>Grafy!$B$13</c:f>
              <c:strCache>
                <c:ptCount val="1"/>
                <c:pt idx="0">
                  <c:v>Kozmice B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Grafy!$C$3:$Q$3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Grafy!$C$13:$Q$13</c:f>
              <c:numCache>
                <c:formatCode>General</c:formatCode>
                <c:ptCount val="12"/>
                <c:pt idx="0">
                  <c:v>8</c:v>
                </c:pt>
                <c:pt idx="1">
                  <c:v>14</c:v>
                </c:pt>
                <c:pt idx="2">
                  <c:v>12</c:v>
                </c:pt>
                <c:pt idx="3">
                  <c:v>15</c:v>
                </c:pt>
                <c:pt idx="4">
                  <c:v>12</c:v>
                </c:pt>
                <c:pt idx="5">
                  <c:v>9</c:v>
                </c:pt>
                <c:pt idx="6">
                  <c:v>8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46F-483F-9145-6779242A1C4E}"/>
            </c:ext>
          </c:extLst>
        </c:ser>
        <c:ser>
          <c:idx val="8"/>
          <c:order val="8"/>
          <c:tx>
            <c:strRef>
              <c:f>Grafy!$B$14</c:f>
              <c:strCache>
                <c:ptCount val="1"/>
                <c:pt idx="0">
                  <c:v>Rohov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Grafy!$C$3:$Q$3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Grafy!$C$14:$Q$14</c:f>
              <c:numCache>
                <c:formatCode>General</c:formatCode>
                <c:ptCount val="12"/>
                <c:pt idx="0">
                  <c:v>9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46F-483F-9145-6779242A1C4E}"/>
            </c:ext>
          </c:extLst>
        </c:ser>
        <c:ser>
          <c:idx val="9"/>
          <c:order val="9"/>
          <c:tx>
            <c:strRef>
              <c:f>Grafy!$B$15</c:f>
              <c:strCache>
                <c:ptCount val="1"/>
                <c:pt idx="0">
                  <c:v>Svinov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Grafy!$C$3:$Q$3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Grafy!$C$15:$Q$15</c:f>
              <c:numCache>
                <c:formatCode>General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11</c:v>
                </c:pt>
                <c:pt idx="3">
                  <c:v>10</c:v>
                </c:pt>
                <c:pt idx="4">
                  <c:v>16</c:v>
                </c:pt>
                <c:pt idx="5">
                  <c:v>15</c:v>
                </c:pt>
                <c:pt idx="6">
                  <c:v>16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46F-483F-9145-6779242A1C4E}"/>
            </c:ext>
          </c:extLst>
        </c:ser>
        <c:ser>
          <c:idx val="10"/>
          <c:order val="10"/>
          <c:tx>
            <c:strRef>
              <c:f>Grafy!$B$16</c:f>
              <c:strCache>
                <c:ptCount val="1"/>
                <c:pt idx="0">
                  <c:v>Kokory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Grafy!$C$3:$Q$3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Grafy!$C$16:$Q$16</c:f>
              <c:numCache>
                <c:formatCode>General</c:formatCode>
                <c:ptCount val="12"/>
                <c:pt idx="0">
                  <c:v>11</c:v>
                </c:pt>
                <c:pt idx="1">
                  <c:v>9</c:v>
                </c:pt>
                <c:pt idx="2">
                  <c:v>13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46F-483F-9145-6779242A1C4E}"/>
            </c:ext>
          </c:extLst>
        </c:ser>
        <c:ser>
          <c:idx val="11"/>
          <c:order val="11"/>
          <c:tx>
            <c:strRef>
              <c:f>Grafy!$B$17</c:f>
              <c:strCache>
                <c:ptCount val="1"/>
                <c:pt idx="0">
                  <c:v>Závada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Grafy!$C$3:$Q$3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Grafy!$C$17:$Q$17</c:f>
              <c:numCache>
                <c:formatCode>General</c:formatCode>
                <c:ptCount val="12"/>
                <c:pt idx="0">
                  <c:v>12</c:v>
                </c:pt>
                <c:pt idx="1">
                  <c:v>7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7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46F-483F-9145-6779242A1C4E}"/>
            </c:ext>
          </c:extLst>
        </c:ser>
        <c:ser>
          <c:idx val="12"/>
          <c:order val="12"/>
          <c:tx>
            <c:strRef>
              <c:f>Grafy!$B$18</c:f>
              <c:strCache>
                <c:ptCount val="1"/>
                <c:pt idx="0">
                  <c:v>Břidličná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Grafy!$C$3:$Q$3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Grafy!$C$18:$Q$18</c:f>
              <c:numCache>
                <c:formatCode>General</c:formatCode>
                <c:ptCount val="12"/>
                <c:pt idx="0">
                  <c:v>13</c:v>
                </c:pt>
                <c:pt idx="1">
                  <c:v>10</c:v>
                </c:pt>
                <c:pt idx="2">
                  <c:v>7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17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46F-483F-9145-6779242A1C4E}"/>
            </c:ext>
          </c:extLst>
        </c:ser>
        <c:ser>
          <c:idx val="13"/>
          <c:order val="13"/>
          <c:tx>
            <c:strRef>
              <c:f>Grafy!$B$19</c:f>
              <c:strCache>
                <c:ptCount val="1"/>
                <c:pt idx="0">
                  <c:v>Strahovice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Grafy!$C$3:$Q$3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Grafy!$C$19:$Q$19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11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46F-483F-9145-6779242A1C4E}"/>
            </c:ext>
          </c:extLst>
        </c:ser>
        <c:ser>
          <c:idx val="14"/>
          <c:order val="14"/>
          <c:tx>
            <c:strRef>
              <c:f>Grafy!$B$20</c:f>
              <c:strCache>
                <c:ptCount val="1"/>
                <c:pt idx="0">
                  <c:v>Služovice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Grafy!$C$3:$Q$3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Grafy!$C$20:$Q$20</c:f>
              <c:numCache>
                <c:formatCode>General</c:formatCode>
                <c:ptCount val="12"/>
                <c:pt idx="0">
                  <c:v>15</c:v>
                </c:pt>
                <c:pt idx="1">
                  <c:v>17</c:v>
                </c:pt>
                <c:pt idx="2">
                  <c:v>15</c:v>
                </c:pt>
                <c:pt idx="3">
                  <c:v>12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46F-483F-9145-6779242A1C4E}"/>
            </c:ext>
          </c:extLst>
        </c:ser>
        <c:ser>
          <c:idx val="15"/>
          <c:order val="15"/>
          <c:tx>
            <c:strRef>
              <c:f>Grafy!$B$21</c:f>
              <c:strCache>
                <c:ptCount val="1"/>
                <c:pt idx="0">
                  <c:v>Bohuslavice A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Grafy!$C$3:$Q$3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Grafy!$C$21:$Q$21</c:f>
              <c:numCache>
                <c:formatCode>General</c:formatCode>
                <c:ptCount val="12"/>
                <c:pt idx="0">
                  <c:v>16</c:v>
                </c:pt>
                <c:pt idx="1">
                  <c:v>18</c:v>
                </c:pt>
                <c:pt idx="2">
                  <c:v>18</c:v>
                </c:pt>
                <c:pt idx="3">
                  <c:v>16</c:v>
                </c:pt>
                <c:pt idx="4">
                  <c:v>17</c:v>
                </c:pt>
                <c:pt idx="5">
                  <c:v>17</c:v>
                </c:pt>
                <c:pt idx="6">
                  <c:v>15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46F-483F-9145-6779242A1C4E}"/>
            </c:ext>
          </c:extLst>
        </c:ser>
        <c:ser>
          <c:idx val="16"/>
          <c:order val="16"/>
          <c:tx>
            <c:strRef>
              <c:f>Grafy!$B$22</c:f>
              <c:strCache>
                <c:ptCount val="1"/>
                <c:pt idx="0">
                  <c:v>Kobeřice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Grafy!$C$3:$Q$3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Grafy!$C$22:$Q$22</c:f>
              <c:numCache>
                <c:formatCode>General</c:formatCode>
                <c:ptCount val="12"/>
                <c:pt idx="0">
                  <c:v>16</c:v>
                </c:pt>
                <c:pt idx="1">
                  <c:v>16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46F-483F-9145-6779242A1C4E}"/>
            </c:ext>
          </c:extLst>
        </c:ser>
        <c:ser>
          <c:idx val="17"/>
          <c:order val="17"/>
          <c:tx>
            <c:strRef>
              <c:f>Grafy!$B$23</c:f>
              <c:strCache>
                <c:ptCount val="1"/>
                <c:pt idx="0">
                  <c:v>Vřesina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Grafy!$C$3:$Q$3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Grafy!$C$23:$Q$23</c:f>
              <c:numCache>
                <c:formatCode>General</c:formatCode>
                <c:ptCount val="12"/>
                <c:pt idx="0">
                  <c:v>16</c:v>
                </c:pt>
                <c:pt idx="1">
                  <c:v>19</c:v>
                </c:pt>
                <c:pt idx="2">
                  <c:v>17</c:v>
                </c:pt>
                <c:pt idx="3">
                  <c:v>17</c:v>
                </c:pt>
                <c:pt idx="4">
                  <c:v>15</c:v>
                </c:pt>
                <c:pt idx="5">
                  <c:v>14</c:v>
                </c:pt>
                <c:pt idx="6">
                  <c:v>12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46F-483F-9145-6779242A1C4E}"/>
            </c:ext>
          </c:extLst>
        </c:ser>
        <c:ser>
          <c:idx val="18"/>
          <c:order val="18"/>
          <c:tx>
            <c:strRef>
              <c:f>Grafy!$B$24</c:f>
              <c:strCache>
                <c:ptCount val="1"/>
                <c:pt idx="0">
                  <c:v>Výškovice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Grafy!$C$3:$Q$3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Grafy!$C$24:$Q$24</c:f>
              <c:numCache>
                <c:formatCode>General</c:formatCode>
                <c:ptCount val="12"/>
                <c:pt idx="0">
                  <c:v>16</c:v>
                </c:pt>
                <c:pt idx="1">
                  <c:v>10</c:v>
                </c:pt>
                <c:pt idx="2">
                  <c:v>16</c:v>
                </c:pt>
                <c:pt idx="3">
                  <c:v>12</c:v>
                </c:pt>
                <c:pt idx="4">
                  <c:v>10</c:v>
                </c:pt>
                <c:pt idx="5">
                  <c:v>8</c:v>
                </c:pt>
                <c:pt idx="6">
                  <c:v>13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646F-483F-9145-6779242A1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3816752"/>
        <c:axId val="1433818192"/>
      </c:lineChart>
      <c:catAx>
        <c:axId val="143381675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33818192"/>
        <c:crossesAt val="1"/>
        <c:auto val="1"/>
        <c:lblAlgn val="ctr"/>
        <c:lblOffset val="200"/>
        <c:noMultiLvlLbl val="0"/>
      </c:catAx>
      <c:valAx>
        <c:axId val="1433818192"/>
        <c:scaling>
          <c:orientation val="maxMin"/>
          <c:min val="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3381675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7124343832020996E-2"/>
          <c:y val="0.76535187571979924"/>
          <c:w val="0.95114131825967829"/>
          <c:h val="0.234073368064205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blipFill dpi="0" rotWithShape="1">
      <a:blip xmlns:r="http://schemas.openxmlformats.org/officeDocument/2006/relationships" r:embed="rId3">
        <a:alphaModFix amt="20000"/>
      </a:blip>
      <a:srcRect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NHHL MUŽI 2023</a:t>
            </a:r>
          </a:p>
        </c:rich>
      </c:tx>
      <c:layout>
        <c:manualLayout>
          <c:xMode val="edge"/>
          <c:yMode val="edge"/>
          <c:x val="0.44019772932540474"/>
          <c:y val="4.76845483723062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4.1131074831862235E-2"/>
          <c:y val="0.19402990032023162"/>
          <c:w val="0.91640757681025165"/>
          <c:h val="0.5627415005036337"/>
        </c:manualLayout>
      </c:layout>
      <c:lineChart>
        <c:grouping val="standard"/>
        <c:varyColors val="0"/>
        <c:ser>
          <c:idx val="0"/>
          <c:order val="0"/>
          <c:tx>
            <c:strRef>
              <c:f>Grafy!$B$6</c:f>
              <c:strCache>
                <c:ptCount val="1"/>
                <c:pt idx="0">
                  <c:v>Píšť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Grafy!$C$3:$Q$3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Grafy!$C$6:$Q$6</c:f>
              <c:numCache>
                <c:formatCode>General</c:formatCode>
                <c:ptCount val="12"/>
                <c:pt idx="0">
                  <c:v>16.276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F7-4DB3-8485-80DEDC214195}"/>
            </c:ext>
          </c:extLst>
        </c:ser>
        <c:ser>
          <c:idx val="1"/>
          <c:order val="1"/>
          <c:tx>
            <c:strRef>
              <c:f>Grafy!$B$7</c:f>
              <c:strCache>
                <c:ptCount val="1"/>
                <c:pt idx="0">
                  <c:v>Bohuslavice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Grafy!$C$3:$Q$3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Grafy!$C$7:$Q$7</c:f>
              <c:numCache>
                <c:formatCode>General</c:formatCode>
                <c:ptCount val="12"/>
                <c:pt idx="0">
                  <c:v>2</c:v>
                </c:pt>
                <c:pt idx="1">
                  <c:v>10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F7-4DB3-8485-80DEDC214195}"/>
            </c:ext>
          </c:extLst>
        </c:ser>
        <c:ser>
          <c:idx val="2"/>
          <c:order val="2"/>
          <c:tx>
            <c:strRef>
              <c:f>Grafy!$B$8</c:f>
              <c:strCache>
                <c:ptCount val="1"/>
                <c:pt idx="0">
                  <c:v>Markvartovice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strRef>
              <c:f>Grafy!$C$3:$Q$3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Grafy!$C$8:$Q$8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F7-4DB3-8485-80DEDC214195}"/>
            </c:ext>
          </c:extLst>
        </c:ser>
        <c:ser>
          <c:idx val="3"/>
          <c:order val="3"/>
          <c:tx>
            <c:strRef>
              <c:f>Grafy!$B$9</c:f>
              <c:strCache>
                <c:ptCount val="1"/>
                <c:pt idx="0">
                  <c:v>Bělá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Grafy!$C$3:$Q$3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Grafy!$C$9:$Q$9</c:f>
              <c:numCache>
                <c:formatCode>General</c:formatCode>
                <c:ptCount val="12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F7-4DB3-8485-80DEDC214195}"/>
            </c:ext>
          </c:extLst>
        </c:ser>
        <c:ser>
          <c:idx val="4"/>
          <c:order val="4"/>
          <c:tx>
            <c:strRef>
              <c:f>Grafy!$B$10</c:f>
              <c:strCache>
                <c:ptCount val="1"/>
                <c:pt idx="0">
                  <c:v>Svoboda B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Grafy!$C$3:$Q$3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Grafy!$C$10:$Q$10</c:f>
              <c:numCache>
                <c:formatCode>General</c:formatCode>
                <c:ptCount val="12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7</c:v>
                </c:pt>
                <c:pt idx="4">
                  <c:v>9</c:v>
                </c:pt>
                <c:pt idx="5">
                  <c:v>10</c:v>
                </c:pt>
                <c:pt idx="6">
                  <c:v>9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1F7-4DB3-8485-80DEDC214195}"/>
            </c:ext>
          </c:extLst>
        </c:ser>
        <c:ser>
          <c:idx val="5"/>
          <c:order val="5"/>
          <c:tx>
            <c:strRef>
              <c:f>Grafy!$B$11</c:f>
              <c:strCache>
                <c:ptCount val="1"/>
                <c:pt idx="0">
                  <c:v>Štěpánkovice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Grafy!$C$3:$Q$3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Grafy!$C$11:$Q$11</c:f>
              <c:numCache>
                <c:formatCode>General</c:formatCode>
                <c:ptCount val="12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8</c:v>
                </c:pt>
                <c:pt idx="4">
                  <c:v>7</c:v>
                </c:pt>
                <c:pt idx="5">
                  <c:v>11</c:v>
                </c:pt>
                <c:pt idx="6">
                  <c:v>9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1F7-4DB3-8485-80DEDC214195}"/>
            </c:ext>
          </c:extLst>
        </c:ser>
        <c:ser>
          <c:idx val="6"/>
          <c:order val="6"/>
          <c:tx>
            <c:strRef>
              <c:f>Grafy!$B$12</c:f>
              <c:strCache>
                <c:ptCount val="1"/>
                <c:pt idx="0">
                  <c:v>Vrbice B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Grafy!$C$3:$Q$3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Grafy!$C$12:$Q$12</c:f>
              <c:numCache>
                <c:formatCode>General</c:formatCode>
                <c:ptCount val="12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1F7-4DB3-8485-80DEDC214195}"/>
            </c:ext>
          </c:extLst>
        </c:ser>
        <c:ser>
          <c:idx val="7"/>
          <c:order val="7"/>
          <c:tx>
            <c:strRef>
              <c:f>Grafy!$B$13</c:f>
              <c:strCache>
                <c:ptCount val="1"/>
                <c:pt idx="0">
                  <c:v>Kozmice B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Grafy!$C$3:$Q$3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Grafy!$C$13:$Q$13</c:f>
              <c:numCache>
                <c:formatCode>General</c:formatCode>
                <c:ptCount val="12"/>
                <c:pt idx="0">
                  <c:v>8</c:v>
                </c:pt>
                <c:pt idx="1">
                  <c:v>14</c:v>
                </c:pt>
                <c:pt idx="2">
                  <c:v>12</c:v>
                </c:pt>
                <c:pt idx="3">
                  <c:v>15</c:v>
                </c:pt>
                <c:pt idx="4">
                  <c:v>12</c:v>
                </c:pt>
                <c:pt idx="5">
                  <c:v>9</c:v>
                </c:pt>
                <c:pt idx="6">
                  <c:v>8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1F7-4DB3-8485-80DEDC214195}"/>
            </c:ext>
          </c:extLst>
        </c:ser>
        <c:ser>
          <c:idx val="8"/>
          <c:order val="8"/>
          <c:tx>
            <c:strRef>
              <c:f>Grafy!$B$14</c:f>
              <c:strCache>
                <c:ptCount val="1"/>
                <c:pt idx="0">
                  <c:v>Rohov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Grafy!$C$3:$Q$3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Grafy!$C$14:$Q$14</c:f>
              <c:numCache>
                <c:formatCode>General</c:formatCode>
                <c:ptCount val="12"/>
                <c:pt idx="0">
                  <c:v>9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1F7-4DB3-8485-80DEDC214195}"/>
            </c:ext>
          </c:extLst>
        </c:ser>
        <c:ser>
          <c:idx val="9"/>
          <c:order val="9"/>
          <c:tx>
            <c:strRef>
              <c:f>Grafy!$B$15</c:f>
              <c:strCache>
                <c:ptCount val="1"/>
                <c:pt idx="0">
                  <c:v>Svinov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Grafy!$C$3:$Q$3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Grafy!$C$15:$Q$15</c:f>
              <c:numCache>
                <c:formatCode>General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11</c:v>
                </c:pt>
                <c:pt idx="3">
                  <c:v>10</c:v>
                </c:pt>
                <c:pt idx="4">
                  <c:v>16</c:v>
                </c:pt>
                <c:pt idx="5">
                  <c:v>15</c:v>
                </c:pt>
                <c:pt idx="6">
                  <c:v>16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1F7-4DB3-8485-80DEDC214195}"/>
            </c:ext>
          </c:extLst>
        </c:ser>
        <c:ser>
          <c:idx val="10"/>
          <c:order val="10"/>
          <c:tx>
            <c:strRef>
              <c:f>Grafy!$B$16</c:f>
              <c:strCache>
                <c:ptCount val="1"/>
                <c:pt idx="0">
                  <c:v>Kokory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Grafy!$C$3:$Q$3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Grafy!$C$16:$Q$16</c:f>
              <c:numCache>
                <c:formatCode>General</c:formatCode>
                <c:ptCount val="12"/>
                <c:pt idx="0">
                  <c:v>11</c:v>
                </c:pt>
                <c:pt idx="1">
                  <c:v>9</c:v>
                </c:pt>
                <c:pt idx="2">
                  <c:v>13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1F7-4DB3-8485-80DEDC214195}"/>
            </c:ext>
          </c:extLst>
        </c:ser>
        <c:ser>
          <c:idx val="11"/>
          <c:order val="11"/>
          <c:tx>
            <c:strRef>
              <c:f>Grafy!$B$17</c:f>
              <c:strCache>
                <c:ptCount val="1"/>
                <c:pt idx="0">
                  <c:v>Závada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Grafy!$C$3:$Q$3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Grafy!$C$17:$Q$17</c:f>
              <c:numCache>
                <c:formatCode>General</c:formatCode>
                <c:ptCount val="12"/>
                <c:pt idx="0">
                  <c:v>12</c:v>
                </c:pt>
                <c:pt idx="1">
                  <c:v>7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7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1F7-4DB3-8485-80DEDC214195}"/>
            </c:ext>
          </c:extLst>
        </c:ser>
        <c:ser>
          <c:idx val="12"/>
          <c:order val="12"/>
          <c:tx>
            <c:strRef>
              <c:f>Grafy!$B$18</c:f>
              <c:strCache>
                <c:ptCount val="1"/>
                <c:pt idx="0">
                  <c:v>Břidličná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Grafy!$C$3:$Q$3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Grafy!$C$18:$Q$18</c:f>
              <c:numCache>
                <c:formatCode>General</c:formatCode>
                <c:ptCount val="12"/>
                <c:pt idx="0">
                  <c:v>13</c:v>
                </c:pt>
                <c:pt idx="1">
                  <c:v>10</c:v>
                </c:pt>
                <c:pt idx="2">
                  <c:v>7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17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1F7-4DB3-8485-80DEDC214195}"/>
            </c:ext>
          </c:extLst>
        </c:ser>
        <c:ser>
          <c:idx val="13"/>
          <c:order val="13"/>
          <c:tx>
            <c:strRef>
              <c:f>Grafy!$B$19</c:f>
              <c:strCache>
                <c:ptCount val="1"/>
                <c:pt idx="0">
                  <c:v>Strahovice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Grafy!$C$3:$Q$3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Grafy!$C$19:$Q$19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11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1F7-4DB3-8485-80DEDC214195}"/>
            </c:ext>
          </c:extLst>
        </c:ser>
        <c:ser>
          <c:idx val="14"/>
          <c:order val="14"/>
          <c:tx>
            <c:strRef>
              <c:f>Grafy!$B$20</c:f>
              <c:strCache>
                <c:ptCount val="1"/>
                <c:pt idx="0">
                  <c:v>Služovice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Grafy!$C$3:$Q$3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Grafy!$C$20:$Q$20</c:f>
              <c:numCache>
                <c:formatCode>General</c:formatCode>
                <c:ptCount val="12"/>
                <c:pt idx="0">
                  <c:v>15</c:v>
                </c:pt>
                <c:pt idx="1">
                  <c:v>17</c:v>
                </c:pt>
                <c:pt idx="2">
                  <c:v>15</c:v>
                </c:pt>
                <c:pt idx="3">
                  <c:v>12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1F7-4DB3-8485-80DEDC214195}"/>
            </c:ext>
          </c:extLst>
        </c:ser>
        <c:ser>
          <c:idx val="15"/>
          <c:order val="15"/>
          <c:tx>
            <c:strRef>
              <c:f>Grafy!$B$21</c:f>
              <c:strCache>
                <c:ptCount val="1"/>
                <c:pt idx="0">
                  <c:v>Bohuslavice A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Grafy!$C$3:$Q$3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Grafy!$C$21:$Q$21</c:f>
              <c:numCache>
                <c:formatCode>General</c:formatCode>
                <c:ptCount val="12"/>
                <c:pt idx="0">
                  <c:v>16</c:v>
                </c:pt>
                <c:pt idx="1">
                  <c:v>18</c:v>
                </c:pt>
                <c:pt idx="2">
                  <c:v>18</c:v>
                </c:pt>
                <c:pt idx="3">
                  <c:v>16</c:v>
                </c:pt>
                <c:pt idx="4">
                  <c:v>17</c:v>
                </c:pt>
                <c:pt idx="5">
                  <c:v>17</c:v>
                </c:pt>
                <c:pt idx="6">
                  <c:v>15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1F7-4DB3-8485-80DEDC214195}"/>
            </c:ext>
          </c:extLst>
        </c:ser>
        <c:ser>
          <c:idx val="16"/>
          <c:order val="16"/>
          <c:tx>
            <c:strRef>
              <c:f>Grafy!$B$22</c:f>
              <c:strCache>
                <c:ptCount val="1"/>
                <c:pt idx="0">
                  <c:v>Kobeřice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Grafy!$C$3:$Q$3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Grafy!$C$22:$Q$22</c:f>
              <c:numCache>
                <c:formatCode>General</c:formatCode>
                <c:ptCount val="12"/>
                <c:pt idx="0">
                  <c:v>16</c:v>
                </c:pt>
                <c:pt idx="1">
                  <c:v>16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1F7-4DB3-8485-80DEDC214195}"/>
            </c:ext>
          </c:extLst>
        </c:ser>
        <c:ser>
          <c:idx val="17"/>
          <c:order val="17"/>
          <c:tx>
            <c:strRef>
              <c:f>Grafy!$B$23</c:f>
              <c:strCache>
                <c:ptCount val="1"/>
                <c:pt idx="0">
                  <c:v>Vřesina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Grafy!$C$3:$Q$3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Grafy!$C$23:$Q$23</c:f>
              <c:numCache>
                <c:formatCode>General</c:formatCode>
                <c:ptCount val="12"/>
                <c:pt idx="0">
                  <c:v>16</c:v>
                </c:pt>
                <c:pt idx="1">
                  <c:v>19</c:v>
                </c:pt>
                <c:pt idx="2">
                  <c:v>17</c:v>
                </c:pt>
                <c:pt idx="3">
                  <c:v>17</c:v>
                </c:pt>
                <c:pt idx="4">
                  <c:v>15</c:v>
                </c:pt>
                <c:pt idx="5">
                  <c:v>14</c:v>
                </c:pt>
                <c:pt idx="6">
                  <c:v>12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1F7-4DB3-8485-80DEDC214195}"/>
            </c:ext>
          </c:extLst>
        </c:ser>
        <c:ser>
          <c:idx val="18"/>
          <c:order val="18"/>
          <c:tx>
            <c:strRef>
              <c:f>Grafy!$B$24</c:f>
              <c:strCache>
                <c:ptCount val="1"/>
                <c:pt idx="0">
                  <c:v>Výškovice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Grafy!$C$3:$Q$3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Grafy!$C$24:$Q$24</c:f>
              <c:numCache>
                <c:formatCode>General</c:formatCode>
                <c:ptCount val="12"/>
                <c:pt idx="0">
                  <c:v>16</c:v>
                </c:pt>
                <c:pt idx="1">
                  <c:v>10</c:v>
                </c:pt>
                <c:pt idx="2">
                  <c:v>16</c:v>
                </c:pt>
                <c:pt idx="3">
                  <c:v>12</c:v>
                </c:pt>
                <c:pt idx="4">
                  <c:v>10</c:v>
                </c:pt>
                <c:pt idx="5">
                  <c:v>8</c:v>
                </c:pt>
                <c:pt idx="6">
                  <c:v>13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D1F7-4DB3-8485-80DEDC214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3816752"/>
        <c:axId val="1433818192"/>
      </c:lineChart>
      <c:catAx>
        <c:axId val="143381675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33818192"/>
        <c:crossesAt val="1"/>
        <c:auto val="1"/>
        <c:lblAlgn val="ctr"/>
        <c:lblOffset val="100"/>
        <c:noMultiLvlLbl val="0"/>
      </c:catAx>
      <c:valAx>
        <c:axId val="1433818192"/>
        <c:scaling>
          <c:orientation val="maxMin"/>
          <c:max val="19"/>
          <c:min val="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33816752"/>
        <c:crosses val="autoZero"/>
        <c:crossBetween val="between"/>
        <c:majorUnit val="1"/>
      </c:valAx>
      <c:spPr>
        <a:noFill/>
        <a:ln w="0">
          <a:noFill/>
        </a:ln>
        <a:effectLst/>
      </c:spPr>
    </c:plotArea>
    <c:legend>
      <c:legendPos val="b"/>
      <c:layout>
        <c:manualLayout>
          <c:xMode val="edge"/>
          <c:yMode val="edge"/>
          <c:x val="2.7124343832020996E-2"/>
          <c:y val="0.76535187571979924"/>
          <c:w val="0.95114131825967829"/>
          <c:h val="0.234073368064205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blipFill dpi="0" rotWithShape="1">
      <a:blip xmlns:r="http://schemas.openxmlformats.org/officeDocument/2006/relationships" r:embed="rId3">
        <a:alphaModFix amt="20000"/>
      </a:blip>
      <a:srcRect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NHHL ŽENY 2023</a:t>
            </a:r>
          </a:p>
        </c:rich>
      </c:tx>
      <c:layout>
        <c:manualLayout>
          <c:xMode val="edge"/>
          <c:yMode val="edge"/>
          <c:x val="0.44019772932540474"/>
          <c:y val="4.76845483723062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4.1131074831862235E-2"/>
          <c:y val="0.19402990032023162"/>
          <c:w val="0.91640757681025165"/>
          <c:h val="0.5627415005036337"/>
        </c:manualLayout>
      </c:layout>
      <c:lineChart>
        <c:grouping val="standard"/>
        <c:varyColors val="0"/>
        <c:ser>
          <c:idx val="0"/>
          <c:order val="0"/>
          <c:tx>
            <c:strRef>
              <c:f>Grafy!$B$32</c:f>
              <c:strCache>
                <c:ptCount val="1"/>
                <c:pt idx="0">
                  <c:v>Svinov 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Grafy!$C$29:$Q$29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Grafy!$C$32:$Q$32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FA-4C90-BACB-4CE87A7B94E0}"/>
            </c:ext>
          </c:extLst>
        </c:ser>
        <c:ser>
          <c:idx val="1"/>
          <c:order val="1"/>
          <c:tx>
            <c:strRef>
              <c:f>Grafy!$B$33</c:f>
              <c:strCache>
                <c:ptCount val="1"/>
                <c:pt idx="0">
                  <c:v>Vrbice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Grafy!$C$29:$Q$29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Grafy!$C$33:$Q$33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FEFA-4C90-BACB-4CE87A7B94E0}"/>
            </c:ext>
          </c:extLst>
        </c:ser>
        <c:ser>
          <c:idx val="2"/>
          <c:order val="2"/>
          <c:tx>
            <c:strRef>
              <c:f>Grafy!$B$34</c:f>
              <c:strCache>
                <c:ptCount val="1"/>
                <c:pt idx="0">
                  <c:v>Markvartovice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Grafy!$C$29:$Q$29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Grafy!$C$34:$Q$34</c:f>
              <c:numCache>
                <c:formatCode>General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FEFA-4C90-BACB-4CE87A7B94E0}"/>
            </c:ext>
          </c:extLst>
        </c:ser>
        <c:ser>
          <c:idx val="3"/>
          <c:order val="3"/>
          <c:tx>
            <c:strRef>
              <c:f>Grafy!$B$35</c:f>
              <c:strCache>
                <c:ptCount val="1"/>
                <c:pt idx="0">
                  <c:v>Bohuslavice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Grafy!$C$29:$Q$29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Grafy!$C$35:$Q$35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FEFA-4C90-BACB-4CE87A7B94E0}"/>
            </c:ext>
          </c:extLst>
        </c:ser>
        <c:ser>
          <c:idx val="4"/>
          <c:order val="4"/>
          <c:tx>
            <c:strRef>
              <c:f>Grafy!$B$36</c:f>
              <c:strCache>
                <c:ptCount val="1"/>
                <c:pt idx="0">
                  <c:v>Rohov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Grafy!$C$29:$Q$29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Grafy!$C$36:$Q$36</c:f>
              <c:numCache>
                <c:formatCode>General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5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FEFA-4C90-BACB-4CE87A7B94E0}"/>
            </c:ext>
          </c:extLst>
        </c:ser>
        <c:ser>
          <c:idx val="5"/>
          <c:order val="5"/>
          <c:tx>
            <c:strRef>
              <c:f>Grafy!$B$37</c:f>
              <c:strCache>
                <c:ptCount val="1"/>
                <c:pt idx="0">
                  <c:v>Píšť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Grafy!$C$29:$Q$29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Grafy!$C$37:$Q$37</c:f>
              <c:numCache>
                <c:formatCode>General</c:formatCode>
                <c:ptCount val="12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FEFA-4C90-BACB-4CE87A7B94E0}"/>
            </c:ext>
          </c:extLst>
        </c:ser>
        <c:ser>
          <c:idx val="6"/>
          <c:order val="6"/>
          <c:tx>
            <c:strRef>
              <c:f>Grafy!$B$38</c:f>
              <c:strCache>
                <c:ptCount val="1"/>
                <c:pt idx="0">
                  <c:v>Štěpánkovice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Grafy!$C$29:$Q$29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Grafy!$C$38:$Q$38</c:f>
              <c:numCache>
                <c:formatCode>General</c:formatCode>
                <c:ptCount val="12"/>
                <c:pt idx="0">
                  <c:v>7</c:v>
                </c:pt>
                <c:pt idx="1">
                  <c:v>5</c:v>
                </c:pt>
                <c:pt idx="2">
                  <c:v>6</c:v>
                </c:pt>
                <c:pt idx="3">
                  <c:v>8</c:v>
                </c:pt>
                <c:pt idx="4">
                  <c:v>7</c:v>
                </c:pt>
                <c:pt idx="5">
                  <c:v>9</c:v>
                </c:pt>
                <c:pt idx="6">
                  <c:v>9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FEFA-4C90-BACB-4CE87A7B94E0}"/>
            </c:ext>
          </c:extLst>
        </c:ser>
        <c:ser>
          <c:idx val="7"/>
          <c:order val="7"/>
          <c:tx>
            <c:strRef>
              <c:f>Grafy!$B$39</c:f>
              <c:strCache>
                <c:ptCount val="1"/>
                <c:pt idx="0">
                  <c:v>Závada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Grafy!$C$29:$Q$29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Grafy!$C$39:$Q$39</c:f>
              <c:numCache>
                <c:formatCode>General</c:formatCode>
                <c:ptCount val="12"/>
                <c:pt idx="0">
                  <c:v>8</c:v>
                </c:pt>
                <c:pt idx="1">
                  <c:v>10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8</c:v>
                </c:pt>
                <c:pt idx="6">
                  <c:v>8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EFA-4C90-BACB-4CE87A7B94E0}"/>
            </c:ext>
          </c:extLst>
        </c:ser>
        <c:ser>
          <c:idx val="8"/>
          <c:order val="8"/>
          <c:tx>
            <c:strRef>
              <c:f>Grafy!$B$40</c:f>
              <c:strCache>
                <c:ptCount val="1"/>
                <c:pt idx="0">
                  <c:v>Vřesina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Grafy!$C$29:$Q$29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Grafy!$C$40:$Q$40</c:f>
              <c:numCache>
                <c:formatCode>General</c:formatCode>
                <c:ptCount val="12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FEFA-4C90-BACB-4CE87A7B94E0}"/>
            </c:ext>
          </c:extLst>
        </c:ser>
        <c:ser>
          <c:idx val="9"/>
          <c:order val="9"/>
          <c:tx>
            <c:strRef>
              <c:f>Grafy!$B$41</c:f>
              <c:strCache>
                <c:ptCount val="1"/>
                <c:pt idx="0">
                  <c:v>Děhylov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Grafy!$C$29:$Q$29</c:f>
              <c:strCache>
                <c:ptCount val="12"/>
                <c:pt idx="0">
                  <c:v>Píšť</c:v>
                </c:pt>
                <c:pt idx="1">
                  <c:v>Svoboda</c:v>
                </c:pt>
                <c:pt idx="2">
                  <c:v>Rohov</c:v>
                </c:pt>
                <c:pt idx="3">
                  <c:v>Markvartovice</c:v>
                </c:pt>
                <c:pt idx="4">
                  <c:v>Bělá</c:v>
                </c:pt>
                <c:pt idx="5">
                  <c:v>Závada</c:v>
                </c:pt>
                <c:pt idx="6">
                  <c:v>Bohuslavice</c:v>
                </c:pt>
                <c:pt idx="7">
                  <c:v>Kozmice</c:v>
                </c:pt>
                <c:pt idx="8">
                  <c:v>Štěpánkovice</c:v>
                </c:pt>
                <c:pt idx="9">
                  <c:v>Strahovice</c:v>
                </c:pt>
                <c:pt idx="10">
                  <c:v>Služovice</c:v>
                </c:pt>
                <c:pt idx="11">
                  <c:v>Vřesina</c:v>
                </c:pt>
              </c:strCache>
            </c:strRef>
          </c:cat>
          <c:val>
            <c:numRef>
              <c:f>Grafy!$C$41:$Q$41</c:f>
              <c:numCache>
                <c:formatCode>General</c:formatCode>
                <c:ptCount val="12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8</c:v>
                </c:pt>
                <c:pt idx="5">
                  <c:v>6</c:v>
                </c:pt>
                <c:pt idx="6">
                  <c:v>6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EFA-4C90-BACB-4CE87A7B9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3816752"/>
        <c:axId val="1433818192"/>
      </c:lineChart>
      <c:catAx>
        <c:axId val="143381675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33818192"/>
        <c:crossesAt val="1"/>
        <c:auto val="1"/>
        <c:lblAlgn val="ctr"/>
        <c:lblOffset val="200"/>
        <c:noMultiLvlLbl val="0"/>
      </c:catAx>
      <c:valAx>
        <c:axId val="1433818192"/>
        <c:scaling>
          <c:orientation val="maxMin"/>
          <c:max val="10"/>
          <c:min val="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3381675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7124343832020996E-2"/>
          <c:y val="0.76535187571979924"/>
          <c:w val="0.89816556780390855"/>
          <c:h val="3.88603685673337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blipFill dpi="0" rotWithShape="1">
      <a:blip xmlns:r="http://schemas.openxmlformats.org/officeDocument/2006/relationships" r:embed="rId3">
        <a:alphaModFix amt="20000"/>
      </a:blip>
      <a:srcRect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257175</xdr:colOff>
      <xdr:row>0</xdr:row>
      <xdr:rowOff>104775</xdr:rowOff>
    </xdr:from>
    <xdr:to>
      <xdr:col>36</xdr:col>
      <xdr:colOff>590549</xdr:colOff>
      <xdr:row>33</xdr:row>
      <xdr:rowOff>19051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1CA4EB2E-DF57-4E65-B726-CA51A7F066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304801</xdr:colOff>
      <xdr:row>0</xdr:row>
      <xdr:rowOff>142875</xdr:rowOff>
    </xdr:from>
    <xdr:to>
      <xdr:col>36</xdr:col>
      <xdr:colOff>28575</xdr:colOff>
      <xdr:row>21</xdr:row>
      <xdr:rowOff>209550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F9256CAC-330F-6E21-B8FB-4989A7AA24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304800</xdr:colOff>
      <xdr:row>22</xdr:row>
      <xdr:rowOff>76200</xdr:rowOff>
    </xdr:from>
    <xdr:to>
      <xdr:col>36</xdr:col>
      <xdr:colOff>28574</xdr:colOff>
      <xdr:row>47</xdr:row>
      <xdr:rowOff>95251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4388331E-D942-4387-97DB-A507E71A5C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D827772-50CF-4724-9D35-51EADF9C8EE6}" name="Tabulka4" displayName="Tabulka4" ref="G3:H24" totalsRowCount="1" dataDxfId="901">
  <autoFilter ref="G3:H23" xr:uid="{6D827772-50CF-4724-9D35-51EADF9C8EE6}"/>
  <tableColumns count="2">
    <tableColumn id="1" xr3:uid="{7F45DCBF-10CA-400B-93D1-A69B2F315A5E}" name="Týmy muži" totalsRowFunction="count" dataDxfId="900"/>
    <tableColumn id="2" xr3:uid="{20AB0336-7498-45E8-967B-0DE8189DD23E}" name="Sloupec1" dataDxfId="899" totalsRowDxfId="898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3576E48-18CA-40F3-AD01-EAA3E38ACA79}" name="Tabulka38111420" displayName="Tabulka38111420" ref="Z3:AF22" totalsRowShown="0" headerRowDxfId="815" dataDxfId="814">
  <autoFilter ref="Z3:AF22" xr:uid="{083BB06C-1560-470E-A308-0377A133B66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xmlns:xlrd2="http://schemas.microsoft.com/office/spreadsheetml/2017/richdata2" ref="Z4:AF22">
    <sortCondition ref="Z3:Z22"/>
  </sortState>
  <tableColumns count="7">
    <tableColumn id="1" xr3:uid="{AA6B575E-C6E9-4CF0-8411-CCC2E7369190}" name="Umístění" dataDxfId="813">
      <calculatedColumnFormula>IF(OR(Tabulka38111420[Výsledný čas]="N",Tabulka38111420[Výsledný čas]="D",Tabulka38111420[Výsledný čas]="NEÚČAST"),Uvod!$E$4,_xlfn.RANK.EQ(Tabulka38111420[[#This Row],[ ]],Tabulka38111420[[ ]],1))</calculatedColumnFormula>
    </tableColumn>
    <tableColumn id="2" xr3:uid="{BCE31E76-0BE4-4248-B94B-68FE15460834}" name="Tým" dataDxfId="812"/>
    <tableColumn id="3" xr3:uid="{80B2D7F5-CC7E-4F05-98CD-AF0713DA65AF}" name="LP" dataDxfId="811">
      <calculatedColumnFormula>VLOOKUP(Tabulka38111420[[#This Row],[Tým]],Tabulka17101319[[Tým]:[ ]],2,FALSE)</calculatedColumnFormula>
    </tableColumn>
    <tableColumn id="4" xr3:uid="{CEF415E5-A3E6-4BE7-B319-1C75F27F1514}" name="PP" dataDxfId="810">
      <calculatedColumnFormula>VLOOKUP(Tabulka38111420[[#This Row],[Tým]],Tabulka17101319[[Tým]:[ ]],3,FALSE)</calculatedColumnFormula>
    </tableColumn>
    <tableColumn id="5" xr3:uid="{C062B34B-8FF8-44DA-B049-DBBD5ADE1CC5}" name="Výsledný čas" dataDxfId="809">
      <calculatedColumnFormula>VLOOKUP(Tabulka38111420[[#This Row],[Tým]],Tabulka17101319[[Tým]:[ ]],4,FALSE)</calculatedColumnFormula>
    </tableColumn>
    <tableColumn id="6" xr3:uid="{15254395-B220-4C29-8BAB-5E4507A6A715}" name=" " dataDxfId="808">
      <calculatedColumnFormula>VLOOKUP(Tabulka38111420[[#This Row],[Tým]],Tabulka17101319[[Tým]:[ ]],7,FALSE)</calculatedColumnFormula>
    </tableColumn>
    <tableColumn id="9" xr3:uid="{33F547FA-F0F5-41A0-8A14-0955427445E8}" name="Body" dataDxfId="807">
      <calculatedColumnFormula>IF(Tabulka38111420[[#This Row],[Výsledný čas]]="N",5,IF(Tabulka38111420[[#This Row],[Výsledný čas]]="D",0,IF(Tabulka38111420[[#This Row],[Výsledný čas]]="NEÚČAST",0,Tabulka4[[#Totals],[Týmy muži]]+6-Tabulka38111420[[#This Row],[Umístění]])))</calculatedColumnFormula>
    </tableColumn>
  </tableColumns>
  <tableStyleInfo name="Styl tabulky 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DBAC1FA3-4A04-4299-B58D-EABE75662F5A}" name="Tabulka59121521" displayName="Tabulka59121521" ref="AH3:AL22" totalsRowShown="0" headerRowDxfId="806" dataDxfId="805">
  <autoFilter ref="AH3:AL22" xr:uid="{0A08C00D-A582-4264-A100-7D00EC898DD5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H4:AL22">
    <sortCondition ref="AH3:AH22"/>
  </sortState>
  <tableColumns count="5">
    <tableColumn id="1" xr3:uid="{5AFD4997-80D1-41EA-899E-9F6E071C7B77}" name="Umístění" dataDxfId="804">
      <calculatedColumnFormula>_xlfn.RANK.EQ(Tabulka59121521[[#This Row],[Body]],Tabulka59121521[Body],0)</calculatedColumnFormula>
    </tableColumn>
    <tableColumn id="2" xr3:uid="{ED31C137-8955-49BD-93F4-0460F2CEACE9}" name="Tým" dataDxfId="803"/>
    <tableColumn id="5" xr3:uid="{1D21868E-DC06-4B02-B2A5-A7BF494EE5ED}" name="Sloupec1" dataDxfId="802">
      <calculatedColumnFormula>Tabulka59121521[[#This Row],[Umístění]]</calculatedColumnFormula>
    </tableColumn>
    <tableColumn id="6" xr3:uid="{734B956C-7429-4575-B985-B558B91C2043}" name="KOREKCE" dataDxfId="801">
      <calculatedColumnFormula>VLOOKUP(Tabulka59121521[[#This Row],[Tým]],Tabulka3[],2,FALSE)</calculatedColumnFormula>
    </tableColumn>
    <tableColumn id="3" xr3:uid="{32C8FF9C-2E01-4B15-9B7C-27DE9E69B8A5}" name="Body" dataDxfId="800">
      <calculatedColumnFormula>VLOOKUP(Tabulka59121521[[#This Row],[Tým]],Tabulka38111420[[Tým]:[Body]],6,FALSE)+Tabulka59121521[[#This Row],[KOREKCE]]</calculatedColumnFormula>
    </tableColumn>
  </tableColumns>
  <tableStyleInfo name="Styl tabulky 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DBE65F01-E039-4E23-9B2F-AC727E8A0A20}" name="Tabulka381114222" displayName="Tabulka381114222" ref="Z26:AF36" totalsRowShown="0" headerRowDxfId="799" dataDxfId="798">
  <autoFilter ref="Z26:AF36" xr:uid="{85A432A9-EAED-4601-841B-B8D71BCB493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xmlns:xlrd2="http://schemas.microsoft.com/office/spreadsheetml/2017/richdata2" ref="Z27:AF36">
    <sortCondition ref="Z26:Z36"/>
  </sortState>
  <tableColumns count="7">
    <tableColumn id="1" xr3:uid="{B89BDECE-E29A-436A-AC77-811D9A63EEBD}" name="Umístění" dataDxfId="797">
      <calculatedColumnFormula>IF(OR(Tabulka381114222[Výsledný čas]="N",Tabulka381114222[Výsledný čas]="D",Tabulka381114222[Výsledný čas]="NEÚČAST"),Uvod!$E$6,_xlfn.RANK.EQ(Tabulka381114222[[#This Row],[ ]],Tabulka381114222[[ ]],1))</calculatedColumnFormula>
    </tableColumn>
    <tableColumn id="2" xr3:uid="{E6CE6F0B-37CB-425B-B016-3A51F25D5441}" name="Tým" dataDxfId="796"/>
    <tableColumn id="3" xr3:uid="{7E0F7C13-4246-44CA-A11B-D4270A06BF25}" name="LP" dataDxfId="795">
      <calculatedColumnFormula>VLOOKUP(Tabulka381114222[[#This Row],[Tým]],Tabulka171013624[[Tým]:[ ]],2,FALSE)</calculatedColumnFormula>
    </tableColumn>
    <tableColumn id="4" xr3:uid="{35A300A1-B164-4214-86D6-BB93365B32C1}" name="PP" dataDxfId="794">
      <calculatedColumnFormula>VLOOKUP(Tabulka381114222[[#This Row],[Tým]],Tabulka171013624[[Tým]:[ ]],3,FALSE)</calculatedColumnFormula>
    </tableColumn>
    <tableColumn id="5" xr3:uid="{ADAB8AA8-3826-4D38-AEA3-161E0453486C}" name="Výsledný čas" dataDxfId="793">
      <calculatedColumnFormula>VLOOKUP(Tabulka381114222[[#This Row],[Tým]],Tabulka171013624[[Tým]:[ ]],4,FALSE)</calculatedColumnFormula>
    </tableColumn>
    <tableColumn id="6" xr3:uid="{C20A37FA-14A6-4109-9DC9-97AA62E432C5}" name=" " dataDxfId="792">
      <calculatedColumnFormula>VLOOKUP(Tabulka381114222[[#This Row],[Tým]],Tabulka171013624[[Tým]:[ ]],7,FALSE)</calculatedColumnFormula>
    </tableColumn>
    <tableColumn id="9" xr3:uid="{5B4CE2F3-0AAA-46F9-B6D8-CCCFB6091A62}" name="Body" dataDxfId="791">
      <calculatedColumnFormula>IF(Tabulka381114222[[#This Row],[Výsledný čas]]="N",5,IF(Tabulka381114222[[#This Row],[Výsledný čas]]="D",0,IF(Tabulka381114222[[#This Row],[Výsledný čas]]="NEÚČAST",0,Tabulka8[[#Totals],[Týmy ženy]]+6-Tabulka381114222[[#This Row],[Umístění]])))</calculatedColumnFormula>
    </tableColumn>
  </tableColumns>
  <tableStyleInfo name="Styl tabulky 1 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EC24AD92-9F26-48B1-B827-958FFB4BA0E3}" name="Tabulka591215323" displayName="Tabulka591215323" ref="AH26:AL36" totalsRowShown="0" headerRowDxfId="790" dataDxfId="789">
  <autoFilter ref="AH26:AL36" xr:uid="{936496D5-1C85-47AE-BF72-87FD40DB1CAE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H27:AL36">
    <sortCondition ref="AH26:AH36"/>
  </sortState>
  <tableColumns count="5">
    <tableColumn id="1" xr3:uid="{DB2FD8B5-3548-423B-BE33-3E8343478B4A}" name="Umístění" dataDxfId="788">
      <calculatedColumnFormula>_xlfn.RANK.EQ(Tabulka591215323[[#This Row],[Body]],Tabulka591215323[Body],0)</calculatedColumnFormula>
    </tableColumn>
    <tableColumn id="2" xr3:uid="{19BC4CC8-96CE-46C9-8ADD-E452A5234065}" name="Tým" dataDxfId="787"/>
    <tableColumn id="4" xr3:uid="{1DB54F3B-6EB1-4E8B-BF8A-5AB6E3D78A93}" name="Sloupec1" dataDxfId="786">
      <calculatedColumnFormula>Tabulka591215323[[#This Row],[Umístění]]</calculatedColumnFormula>
    </tableColumn>
    <tableColumn id="7" xr3:uid="{419B91E7-97BC-4642-80FD-84E6CEF47036}" name="KOREKCE" dataDxfId="785">
      <calculatedColumnFormula>VLOOKUP(Tabulka591215323[[#This Row],[Tým]],Tabulka6[],2,FALSE)</calculatedColumnFormula>
    </tableColumn>
    <tableColumn id="3" xr3:uid="{55E511BA-EAC6-495D-B434-FE8889302347}" name="Body" dataDxfId="784">
      <calculatedColumnFormula>VLOOKUP(Tabulka591215323[[#This Row],[Tým]],Tabulka381114222[[Tým]:[Body]],6,FALSE)+Tabulka591215323[[#This Row],[KOREKCE]]</calculatedColumnFormula>
    </tableColumn>
  </tableColumns>
  <tableStyleInfo name="Styl tabulky 1 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9AD9B907-FA3C-4123-BB49-82C23950DB46}" name="Tabulka171013624" displayName="Tabulka171013624" ref="N3:V14" totalsRowShown="0" headerRowDxfId="783" dataDxfId="781" headerRowBorderDxfId="782">
  <autoFilter ref="N3:V14" xr:uid="{3B6B0F44-04D5-4BDE-9432-A266A6F818E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N4:V53">
    <sortCondition ref="O3:O53"/>
  </sortState>
  <tableColumns count="9">
    <tableColumn id="1" xr3:uid="{BC68D0AF-99B0-4797-8181-6689729C04B9}" name="Start. Poz." dataDxfId="780"/>
    <tableColumn id="2" xr3:uid="{E299FEB8-747D-4FBE-A244-1D55CC4A4D60}" name="Umístění" dataDxfId="779">
      <calculatedColumnFormula>IF(Tabulka171013624[[#This Row],[ ]]="","",IF(Tabulka171013624[[#This Row],[ ]]="NEÚČAST","",IF(OR(Tabulka171013624[Výsledný čas]="N",Tabulka171013624[Výsledný čas]="D"),$X$4-$X$5,_xlfn.RANK.EQ(Tabulka171013624[[#This Row],[ ]],Tabulka171013624[[ ]],1))))</calculatedColumnFormula>
    </tableColumn>
    <tableColumn id="3" xr3:uid="{3A129AE3-DB1D-4D95-B754-AB6F48A65B57}" name="Tým" dataDxfId="778"/>
    <tableColumn id="4" xr3:uid="{72A862B2-E4B7-470D-86B0-2D1721A75627}" name="LP" dataDxfId="777"/>
    <tableColumn id="5" xr3:uid="{E5B47ABC-4C60-4056-8E80-EB46CC94BC0E}" name="PP" dataDxfId="776"/>
    <tableColumn id="6" xr3:uid="{FC254049-AA64-40B6-A272-27AC717644ED}" name="Výsledný čas" dataDxfId="775">
      <calculatedColumnFormula>IF(OR(Tabulka171013624[[#This Row],[LP]]="N",Tabulka171013624[[#This Row],[PP]]="N"),"N",IF(OR(Tabulka171013624[[#This Row],[LP]]="D",Tabulka171013624[[#This Row],[PP]]="D"),"D",IF(OR(Tabulka171013624[[#This Row],[LP]]="NEÚČAST",Tabulka171013624[[#This Row],[PP]]="NEÚČAST"),"NEÚČAST",IF(OR(Tabulka171013624[[#This Row],[LP]]="",Tabulka171013624[[#This Row],[PP]]=""),"",MAX(Tabulka171013624[[#This Row],[LP]:[PP]])))))</calculatedColumnFormula>
    </tableColumn>
    <tableColumn id="11" xr3:uid="{71347765-9650-4722-A6A7-CABFBB491F9A}" name="ÚČAST" dataDxfId="774">
      <calculatedColumnFormula>COUNTIF(Tabulka171013624[[#This Row],[Tým]],"*")</calculatedColumnFormula>
    </tableColumn>
    <tableColumn id="10" xr3:uid="{E521A66D-1196-4DFF-BEED-0F6C7BF7FA46}" name="NEÚČAST" dataDxfId="773">
      <calculatedColumnFormula>COUNTIF(Tabulka171013624[[#This Row],[Výsledný čas]],"NEÚČAST")</calculatedColumnFormula>
    </tableColumn>
    <tableColumn id="7" xr3:uid="{C6AFC167-7171-4EF5-BC6E-800FA8AEEA0C}" name=" " dataDxfId="772">
      <calculatedColumnFormula>IF(Tabulka171013624[[#This Row],[Výsledný čas]]="N",998,IF(Tabulka171013624[[#This Row],[Výsledný čas]]="D",998,IF(Tabulka171013624[[#This Row],[Výsledný čas]]="","",Tabulka171013624[[#This Row],[Výsledný čas]])))</calculatedColumnFormula>
    </tableColumn>
  </tableColumns>
  <tableStyleInfo name="Styl tabulky 1 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48625C1F-D3CE-4B61-B992-6D3566EDC3A1}" name="Tabulka171013" displayName="Tabulka171013" ref="B3:J30" totalsRowShown="0" headerRowDxfId="771" dataDxfId="770">
  <autoFilter ref="B3:J30" xr:uid="{62D044D3-D427-4706-A77D-7F311383422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4:J53">
    <sortCondition ref="C3:C53"/>
  </sortState>
  <tableColumns count="9">
    <tableColumn id="1" xr3:uid="{9C05A058-5124-48EE-9757-B1186687A10C}" name="Start. Poz." dataDxfId="769"/>
    <tableColumn id="2" xr3:uid="{F03A5266-23E2-4EEE-94C7-CFB125AE475B}" name="Umístění" dataDxfId="768">
      <calculatedColumnFormula>IF(Tabulka171013[[#This Row],[ ]]="","",IF(Tabulka171013[[#This Row],[ ]]="NEÚČAST","",IF(OR(Tabulka171013[Výsledný čas]="N",Tabulka171013[Výsledný čas]="D"),$L$4-$L$5,_xlfn.RANK.EQ(Tabulka171013[[#This Row],[ ]],Tabulka171013[[ ]],1))))</calculatedColumnFormula>
    </tableColumn>
    <tableColumn id="3" xr3:uid="{D7781C20-93A4-43F1-9ECE-D94D4222F746}" name="Tým" dataDxfId="767"/>
    <tableColumn id="4" xr3:uid="{86A0E622-797C-40CA-BB61-FB776915F0AD}" name="LP" dataDxfId="766"/>
    <tableColumn id="5" xr3:uid="{95E7DBA1-70A4-4F3A-BEB4-36FEE06465BC}" name="PP" dataDxfId="765"/>
    <tableColumn id="6" xr3:uid="{92162F63-BE6B-4E37-9221-14E96A1611E4}" name="Výsledný čas" dataDxfId="764">
      <calculatedColumnFormula>IF(OR(Tabulka171013[[#This Row],[LP]]="N",Tabulka171013[[#This Row],[PP]]="N"),"N",IF(OR(Tabulka171013[[#This Row],[LP]]="D",Tabulka171013[[#This Row],[PP]]="D"),"D",IF(OR(Tabulka171013[[#This Row],[LP]]="NEÚČAST",Tabulka171013[[#This Row],[PP]]="NEÚČAST"),"NEÚČAST",IF(OR(Tabulka171013[[#This Row],[LP]]="",Tabulka171013[[#This Row],[PP]]=""),"",MAX(Tabulka171013[[#This Row],[LP]:[PP]])))))</calculatedColumnFormula>
    </tableColumn>
    <tableColumn id="9" xr3:uid="{E4EDCA26-644A-4123-B4B2-4C7E65F73551}" name="ÚČAST" dataDxfId="763">
      <calculatedColumnFormula>COUNTIF(Tabulka171013[[#This Row],[Tým]],"*")</calculatedColumnFormula>
    </tableColumn>
    <tableColumn id="8" xr3:uid="{B929FE6E-B5ED-4A77-BFD0-534EAB870B12}" name="NEÚČAST" dataDxfId="762">
      <calculatedColumnFormula>COUNTIF(Tabulka171013[[#This Row],[Výsledný čas]],"NEÚČAST")</calculatedColumnFormula>
    </tableColumn>
    <tableColumn id="7" xr3:uid="{664983D8-63E9-451D-80C5-10683BCEC52B}" name=" " dataDxfId="761">
      <calculatedColumnFormula>IF(Tabulka171013[[#This Row],[Výsledný čas]]="N",998,IF(Tabulka171013[[#This Row],[Výsledný čas]]="D",998,IF(Tabulka171013[[#This Row],[Výsledný čas]]="","",Tabulka171013[[#This Row],[Výsledný čas]])))</calculatedColumnFormula>
    </tableColumn>
  </tableColumns>
  <tableStyleInfo name="Styl tabulky 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CAF714D2-0152-4FE2-B08F-C0568B84BDF2}" name="Tabulka381114" displayName="Tabulka381114" ref="Z3:AF22" totalsRowShown="0" headerRowDxfId="760" dataDxfId="759">
  <autoFilter ref="Z3:AF22" xr:uid="{083BB06C-1560-470E-A308-0377A133B66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xmlns:xlrd2="http://schemas.microsoft.com/office/spreadsheetml/2017/richdata2" ref="Z4:AF22">
    <sortCondition ref="Z4:Z22"/>
  </sortState>
  <tableColumns count="7">
    <tableColumn id="1" xr3:uid="{75470C64-31C2-4284-8FCD-92D3A063DACC}" name="Umístění" dataDxfId="758">
      <calculatedColumnFormula>IF(OR(Tabulka381114[Výsledný čas]="N",Tabulka381114[Výsledný čas]="D",Tabulka381114[Výsledný čas]="NEÚČAST"),Uvod!$E$4,_xlfn.RANK.EQ(Tabulka381114[[#This Row],[ ]],Tabulka381114[[ ]],1))</calculatedColumnFormula>
    </tableColumn>
    <tableColumn id="2" xr3:uid="{2B5FCC76-D2C8-4A3F-9AED-1C45CDBD1E66}" name="Tým" dataDxfId="757"/>
    <tableColumn id="3" xr3:uid="{A2DDCA46-C9D0-4B5D-9B78-446CA1E5623A}" name="LP" dataDxfId="756">
      <calculatedColumnFormula>VLOOKUP(Tabulka381114[[#This Row],[Tým]],Tabulka171013[[Tým]:[ ]],2,FALSE)</calculatedColumnFormula>
    </tableColumn>
    <tableColumn id="4" xr3:uid="{B712B0F3-359D-4013-95D2-CFB391BA2C7B}" name="PP" dataDxfId="755">
      <calculatedColumnFormula>VLOOKUP(Tabulka381114[[#This Row],[Tým]],Tabulka171013[[Tým]:[ ]],3,FALSE)</calculatedColumnFormula>
    </tableColumn>
    <tableColumn id="5" xr3:uid="{30AAF74E-BEC2-4706-8E4F-CE18AB22F154}" name="Výsledný čas" dataDxfId="754">
      <calculatedColumnFormula>VLOOKUP(Tabulka381114[[#This Row],[Tým]],Tabulka171013[[Tým]:[ ]],4,FALSE)</calculatedColumnFormula>
    </tableColumn>
    <tableColumn id="6" xr3:uid="{A4E9E255-6DA2-446B-881B-822B4B886EAB}" name=" " dataDxfId="753">
      <calculatedColumnFormula>VLOOKUP(Tabulka381114[[#This Row],[Tým]],Tabulka171013[[Tým]:[ ]],7,FALSE)</calculatedColumnFormula>
    </tableColumn>
    <tableColumn id="9" xr3:uid="{2BF9615B-65D8-49D1-8D1B-DC3004BF9CEA}" name="Body" dataDxfId="752">
      <calculatedColumnFormula>IF(Tabulka381114[[#This Row],[Výsledný čas]]="N",5,IF(Tabulka381114[[#This Row],[Výsledný čas]]="D",0,IF(Tabulka381114[[#This Row],[Výsledný čas]]="NEÚČAST",0,Tabulka4[[#Totals],[Týmy muži]]+6-Tabulka381114[[#This Row],[Umístění]])))</calculatedColumnFormula>
    </tableColumn>
  </tableColumns>
  <tableStyleInfo name="Styl tabulky 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A017EB9B-FA76-4F56-9A20-F3BD422170DE}" name="Tabulka591215" displayName="Tabulka591215" ref="AH3:AL22" totalsRowShown="0" headerRowDxfId="751" dataDxfId="750">
  <autoFilter ref="AH3:AL22" xr:uid="{0A08C00D-A582-4264-A100-7D00EC898DD5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H4:AL22">
    <sortCondition ref="AH4:AH22"/>
  </sortState>
  <tableColumns count="5">
    <tableColumn id="1" xr3:uid="{1A6EDBB0-15D9-4CDB-8E1E-802581228174}" name="Umístění" dataDxfId="749">
      <calculatedColumnFormula>_xlfn.RANK.EQ(Tabulka591215[[#This Row],[Body]],Tabulka591215[Body],0)</calculatedColumnFormula>
    </tableColumn>
    <tableColumn id="2" xr3:uid="{3CD0A2AB-4E14-4DD7-B8AC-78EC53231220}" name="Tým" dataDxfId="748"/>
    <tableColumn id="3" xr3:uid="{96BFD880-9BFA-4CB4-A942-7FE901F4E0FB}" name="Body" dataDxfId="747">
      <calculatedColumnFormula>VLOOKUP(Tabulka591215[[#This Row],[Tým]],Tabulka381114[[Tým]:[Body]],6,FALSE)+Tabulka591215[[#This Row],[ ]]</calculatedColumnFormula>
    </tableColumn>
    <tableColumn id="4" xr3:uid="{903D17F2-DEC7-44A9-ACBF-C927E3F0057B}" name=" " dataDxfId="746">
      <calculatedColumnFormula>VLOOKUP(Tabulka591215[[#This Row],[Tým]],Tabulka59121521[[Tým]:[Body]],4,FALSE)</calculatedColumnFormula>
    </tableColumn>
    <tableColumn id="6" xr3:uid="{8DCC9811-CC59-4861-B33E-1737D2634963}" name="Sloupec1" dataDxfId="745">
      <calculatedColumnFormula>Tabulka591215[[#This Row],[Umístění]]</calculatedColumnFormula>
    </tableColumn>
  </tableColumns>
  <tableStyleInfo name="Styl tabulky 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5A432A9-EAED-4601-841B-B8D71BCB493F}" name="Tabulka3811142" displayName="Tabulka3811142" ref="Z26:AF36" totalsRowShown="0" headerRowDxfId="744" dataDxfId="743">
  <autoFilter ref="Z26:AF36" xr:uid="{85A432A9-EAED-4601-841B-B8D71BCB493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xmlns:xlrd2="http://schemas.microsoft.com/office/spreadsheetml/2017/richdata2" ref="Z27:AF36">
    <sortCondition ref="Z26:Z36"/>
  </sortState>
  <tableColumns count="7">
    <tableColumn id="1" xr3:uid="{0817EE71-510F-463C-99B1-30A19F6B44FA}" name="Umístění" dataDxfId="742">
      <calculatedColumnFormula>IF(OR(Tabulka3811142[Výsledný čas]="N",Tabulka3811142[Výsledný čas]="D",Tabulka3811142[Výsledný čas]="NEÚČAST"),Uvod!$E$6,_xlfn.RANK.EQ(Tabulka3811142[[#This Row],[ ]],Tabulka3811142[[ ]],1))</calculatedColumnFormula>
    </tableColumn>
    <tableColumn id="2" xr3:uid="{F9477CC1-F336-4866-A25D-63C7D046F7D5}" name="Tým" dataDxfId="741"/>
    <tableColumn id="3" xr3:uid="{4DDB82E0-21CC-43FC-8882-81A3907D4930}" name="LP" dataDxfId="740">
      <calculatedColumnFormula>VLOOKUP(Tabulka3811142[[#This Row],[Tým]],Tabulka1710136[[Tým]:[ ]],2,FALSE)</calculatedColumnFormula>
    </tableColumn>
    <tableColumn id="4" xr3:uid="{4EE02124-4D7F-46D6-819D-4FCBEE0F5E18}" name="PP" dataDxfId="739">
      <calculatedColumnFormula>VLOOKUP(Tabulka3811142[[#This Row],[Tým]],Tabulka1710136[[Tým]:[ ]],3,FALSE)</calculatedColumnFormula>
    </tableColumn>
    <tableColumn id="5" xr3:uid="{12AB628B-3FCF-42BD-89B7-2D240E7D993F}" name="Výsledný čas" dataDxfId="738">
      <calculatedColumnFormula>VLOOKUP(Tabulka3811142[[#This Row],[Tým]],Tabulka1710136[[Tým]:[ ]],4,FALSE)</calculatedColumnFormula>
    </tableColumn>
    <tableColumn id="6" xr3:uid="{08452946-CF5C-4B7F-AFC6-BAD9625DAF80}" name=" " dataDxfId="737">
      <calculatedColumnFormula>VLOOKUP(Tabulka3811142[[#This Row],[Tým]],Tabulka1710136[[Tým]:[ ]],7,FALSE)</calculatedColumnFormula>
    </tableColumn>
    <tableColumn id="9" xr3:uid="{977C7122-A450-4E7F-9FB3-C4AB4E67F094}" name="Body" dataDxfId="736">
      <calculatedColumnFormula>IF(Tabulka3811142[[#This Row],[Výsledný čas]]="N",5,IF(Tabulka3811142[[#This Row],[Výsledný čas]]="D",0,IF(Tabulka3811142[[#This Row],[Výsledný čas]]="NEÚČAST",0,Tabulka8[[#Totals],[Týmy ženy]]+6-Tabulka3811142[[#This Row],[Umístění]])))</calculatedColumnFormula>
    </tableColumn>
  </tableColumns>
  <tableStyleInfo name="Styl tabulky 1 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36496D5-1C85-47AE-BF72-87FD40DB1CAE}" name="Tabulka5912153" displayName="Tabulka5912153" ref="AH26:AL36" totalsRowShown="0" headerRowDxfId="735" dataDxfId="734">
  <autoFilter ref="AH26:AL36" xr:uid="{936496D5-1C85-47AE-BF72-87FD40DB1CAE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H27:AL36">
    <sortCondition ref="AH26:AH36"/>
  </sortState>
  <tableColumns count="5">
    <tableColumn id="1" xr3:uid="{F38FA8D1-177B-4D58-BD21-C4B7CE3164E0}" name="Umístění" dataDxfId="733">
      <calculatedColumnFormula>_xlfn.RANK.EQ(Tabulka5912153[[#This Row],[Body]],Tabulka5912153[Body],0)</calculatedColumnFormula>
    </tableColumn>
    <tableColumn id="2" xr3:uid="{9B1AF53A-E2F3-4CD0-BBBB-18C1D014AA93}" name="Tým" dataDxfId="732"/>
    <tableColumn id="3" xr3:uid="{CA4EA97D-D977-4A5D-A12E-6F38ECECBF1C}" name="Body" dataDxfId="731">
      <calculatedColumnFormula>VLOOKUP(Tabulka5912153[[#This Row],[Tým]],Tabulka3811142[[Tým]:[Body]],6,FALSE)+Tabulka5912153[[#This Row],[ ]]</calculatedColumnFormula>
    </tableColumn>
    <tableColumn id="4" xr3:uid="{EC01CA67-CE67-4340-821A-4BA08D77EBBC}" name=" " dataDxfId="730">
      <calculatedColumnFormula>VLOOKUP(Tabulka5912153[[#This Row],[Tým]],Tabulka591215323[[Tým]:[Body]],4,FALSE)</calculatedColumnFormula>
    </tableColumn>
    <tableColumn id="5" xr3:uid="{EADC9C2F-EC2E-472C-B5C8-6D1DC9609E1F}" name="Sloupec1" dataDxfId="729">
      <calculatedColumnFormula>Tabulka5912153[[#This Row],[Umístění]]</calculatedColumnFormula>
    </tableColumn>
  </tableColumns>
  <tableStyleInfo name="Styl tabulky 1 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CEF6420-8413-48B6-94E5-374440B10AB0}" name="Tabulka8" displayName="Tabulka8" ref="I3:I24" totalsRowCount="1" dataDxfId="897">
  <autoFilter ref="I3:I23" xr:uid="{7CEF6420-8413-48B6-94E5-374440B10AB0}"/>
  <tableColumns count="1">
    <tableColumn id="1" xr3:uid="{02DECA3A-E144-4536-9656-6296D9B0907B}" name="Týmy ženy" totalsRowFunction="count" dataDxfId="896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B6B0F44-04D5-4BDE-9432-A266A6F818EF}" name="Tabulka1710136" displayName="Tabulka1710136" ref="N3:V14" totalsRowShown="0" headerRowDxfId="728" dataDxfId="727">
  <autoFilter ref="N3:V14" xr:uid="{3B6B0F44-04D5-4BDE-9432-A266A6F818E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N4:V14">
    <sortCondition ref="O3:O14"/>
  </sortState>
  <tableColumns count="9">
    <tableColumn id="1" xr3:uid="{D85DED9C-58A7-4001-9CF9-03FD6CC1CCE9}" name="Start. Poz." dataDxfId="726"/>
    <tableColumn id="2" xr3:uid="{7C2D0EF8-7E9E-4D0A-9677-3AA0884116DB}" name="Umístění" dataDxfId="725">
      <calculatedColumnFormula>IF(Tabulka1710136[[#This Row],[ ]]="","",IF(Tabulka1710136[[#This Row],[ ]]="NEÚČAST","",IF(OR(Tabulka1710136[Výsledný čas]="N",Tabulka1710136[Výsledný čas]="D"),$X$4-$X$5,_xlfn.RANK.EQ(Tabulka1710136[[#This Row],[ ]],Tabulka1710136[[ ]],1))))</calculatedColumnFormula>
    </tableColumn>
    <tableColumn id="3" xr3:uid="{857C08DF-E9AF-418C-BBB0-7322A7FE8A36}" name="Tým" dataDxfId="724"/>
    <tableColumn id="4" xr3:uid="{BE966F58-8767-48B0-8B67-2693EE67A3A3}" name="LP" dataDxfId="723"/>
    <tableColumn id="5" xr3:uid="{8D66DDA3-1201-4EC2-B28B-D540D551D818}" name="PP" dataDxfId="722"/>
    <tableColumn id="6" xr3:uid="{45262D58-9E3C-4F0F-9795-65C290B8DFD1}" name="Výsledný čas" dataDxfId="721">
      <calculatedColumnFormula>IF(OR(Tabulka1710136[[#This Row],[LP]]="N",Tabulka1710136[[#This Row],[PP]]="N"),"N",IF(OR(Tabulka1710136[[#This Row],[LP]]="D",Tabulka1710136[[#This Row],[PP]]="D"),"D",IF(OR(Tabulka1710136[[#This Row],[LP]]="NEÚČAST",Tabulka1710136[[#This Row],[PP]]="NEÚČAST"),"NEÚČAST",IF(OR(Tabulka1710136[[#This Row],[LP]]="",Tabulka1710136[[#This Row],[PP]]=""),"",MAX(Tabulka1710136[[#This Row],[LP]:[PP]])))))</calculatedColumnFormula>
    </tableColumn>
    <tableColumn id="9" xr3:uid="{4322125C-03D3-4615-87CD-A08F7492781F}" name="ÚČAST" dataDxfId="720">
      <calculatedColumnFormula>COUNTIF(Tabulka1710136[[#This Row],[Tým]],"*")</calculatedColumnFormula>
    </tableColumn>
    <tableColumn id="8" xr3:uid="{35E23BD3-2708-4A8E-B2BF-F740026139DA}" name="NEÚČAST" dataDxfId="719">
      <calculatedColumnFormula>COUNTIF(Tabulka1710136[[#This Row],[Výsledný čas]],"NEÚČAST")</calculatedColumnFormula>
    </tableColumn>
    <tableColumn id="7" xr3:uid="{E1840B3B-D97F-47F9-8B3A-C0504AB74E90}" name=" " dataDxfId="718">
      <calculatedColumnFormula>IF(Tabulka1710136[[#This Row],[Výsledný čas]]="N",998,IF(Tabulka1710136[[#This Row],[Výsledný čas]]="D",998,IF(Tabulka1710136[[#This Row],[Výsledný čas]]="","",Tabulka1710136[[#This Row],[Výsledný čas]])))</calculatedColumnFormula>
    </tableColumn>
  </tableColumns>
  <tableStyleInfo name="Styl tabulky 1 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BD4ECEBE-1077-412A-9794-982A3FE22CC8}" name="Tabulka17101325" displayName="Tabulka17101325" ref="B3:J24" totalsRowShown="0" headerRowDxfId="717" dataDxfId="715" headerRowBorderDxfId="716">
  <autoFilter ref="B3:J24" xr:uid="{62D044D3-D427-4706-A77D-7F311383422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4:J23">
    <sortCondition ref="C3:C23"/>
  </sortState>
  <tableColumns count="9">
    <tableColumn id="1" xr3:uid="{4A70FDC6-6C1C-432B-9C79-0C56E318A241}" name="Start. Poz." dataDxfId="714"/>
    <tableColumn id="2" xr3:uid="{19C80582-2080-4CED-B612-70468E9F8263}" name="Umístění" dataDxfId="713">
      <calculatedColumnFormula>IF(Tabulka17101325[[#This Row],[ ]]="","",IF(Tabulka17101325[[#This Row],[ ]]="NEÚČAST","",IF(OR(Tabulka17101325[Výsledný čas]="N",Tabulka17101325[Výsledný čas]="D"),$L$4-$L$5,_xlfn.RANK.EQ(Tabulka17101325[[#This Row],[ ]],Tabulka17101325[[ ]],1))))</calculatedColumnFormula>
    </tableColumn>
    <tableColumn id="3" xr3:uid="{10EE433F-6E86-49A9-B61D-5739217A73AB}" name="Tým" dataDxfId="712"/>
    <tableColumn id="4" xr3:uid="{20331B1B-3848-41B9-A52B-74D5A44C8BAB}" name="LP" dataDxfId="711"/>
    <tableColumn id="5" xr3:uid="{0371BD0A-21BD-4001-971A-A54409525E62}" name="PP" dataDxfId="710"/>
    <tableColumn id="6" xr3:uid="{C4D67A46-D1D9-4865-9FE9-5FC8780D0C03}" name="Výsledný čas" dataDxfId="709">
      <calculatedColumnFormula>IF(OR(Tabulka17101325[[#This Row],[LP]]="N",Tabulka17101325[[#This Row],[PP]]="N"),"N",IF(OR(Tabulka17101325[[#This Row],[LP]]="D",Tabulka17101325[[#This Row],[PP]]="D"),"D",IF(OR(Tabulka17101325[[#This Row],[LP]]="NEÚČAST",Tabulka17101325[[#This Row],[PP]]="NEÚČAST"),"NEÚČAST",IF(OR(Tabulka17101325[[#This Row],[LP]]="",Tabulka17101325[[#This Row],[PP]]=""),"",MAX(Tabulka17101325[[#This Row],[LP]:[PP]])))))</calculatedColumnFormula>
    </tableColumn>
    <tableColumn id="9" xr3:uid="{0E504A54-A2D0-4DF8-A660-45688F0E9B77}" name="ÚČAST" dataDxfId="708">
      <calculatedColumnFormula>COUNTIF(Tabulka17101325[[#This Row],[Tým]],"*")</calculatedColumnFormula>
    </tableColumn>
    <tableColumn id="8" xr3:uid="{121C0EBF-F5D1-4B2A-BB94-D82FA7E9ADF7}" name="NEÚČAST" dataDxfId="707">
      <calculatedColumnFormula>COUNTIF(Tabulka17101325[[#This Row],[Výsledný čas]],"NEÚČAST")</calculatedColumnFormula>
    </tableColumn>
    <tableColumn id="7" xr3:uid="{F84A138F-32BF-4748-B956-28F2CF57D808}" name=" " dataDxfId="706">
      <calculatedColumnFormula>IF(Tabulka17101325[[#This Row],[Výsledný čas]]="N",998,IF(Tabulka17101325[[#This Row],[Výsledný čas]]="D",998,IF(Tabulka17101325[[#This Row],[Výsledný čas]]="","",Tabulka17101325[[#This Row],[Výsledný čas]])))</calculatedColumnFormula>
    </tableColumn>
  </tableColumns>
  <tableStyleInfo name="Styl tabulky 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4EC70E24-5FA3-4038-BE78-8F7ACA26C506}" name="Tabulka38111426" displayName="Tabulka38111426" ref="Z3:AF22" totalsRowShown="0" headerRowDxfId="705" dataDxfId="704">
  <autoFilter ref="Z3:AF22" xr:uid="{083BB06C-1560-470E-A308-0377A133B66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xmlns:xlrd2="http://schemas.microsoft.com/office/spreadsheetml/2017/richdata2" ref="Z4:AF22">
    <sortCondition ref="Z4:Z22"/>
  </sortState>
  <tableColumns count="7">
    <tableColumn id="1" xr3:uid="{952D776A-5748-40F6-ADC7-8F49B83C1457}" name="Umístění" dataDxfId="703">
      <calculatedColumnFormula>IF(OR(Tabulka38111426[Výsledný čas]="N",Tabulka38111426[Výsledný čas]="D",Tabulka38111426[Výsledný čas]="NEÚČAST"),Uvod!$E$4,_xlfn.RANK.EQ(Tabulka38111426[[#This Row],[ ]],Tabulka38111426[[ ]],1))</calculatedColumnFormula>
    </tableColumn>
    <tableColumn id="2" xr3:uid="{8E95C15D-FBEB-4721-A5AA-9FB5ED6EC9BB}" name="Tým" dataDxfId="702"/>
    <tableColumn id="3" xr3:uid="{1ED1B744-28D8-42A5-9009-DB217D8CC0AA}" name="LP" dataDxfId="701">
      <calculatedColumnFormula>VLOOKUP(Tabulka38111426[[#This Row],[Tým]],Tabulka17101325[[Tým]:[ ]],2,FALSE)</calculatedColumnFormula>
    </tableColumn>
    <tableColumn id="4" xr3:uid="{67A24416-ECD7-4933-B29A-C473ED85A2DB}" name="PP" dataDxfId="700">
      <calculatedColumnFormula>VLOOKUP(Tabulka38111426[[#This Row],[Tým]],Tabulka17101325[[Tým]:[ ]],3,FALSE)</calculatedColumnFormula>
    </tableColumn>
    <tableColumn id="5" xr3:uid="{4A085412-4895-4070-9029-0478716C6DE1}" name="Výsledný čas" dataDxfId="699">
      <calculatedColumnFormula>VLOOKUP(Tabulka38111426[[#This Row],[Tým]],Tabulka17101325[[Tým]:[ ]],4,FALSE)</calculatedColumnFormula>
    </tableColumn>
    <tableColumn id="6" xr3:uid="{E8CF3A7C-B2A0-4926-A7CB-08B0E18FA2E2}" name=" " dataDxfId="698">
      <calculatedColumnFormula>VLOOKUP(Tabulka38111426[[#This Row],[Tým]],Tabulka17101325[[Tým]:[ ]],7,FALSE)</calculatedColumnFormula>
    </tableColumn>
    <tableColumn id="9" xr3:uid="{C4AB6AAD-36CA-4704-8984-DC0BA8582616}" name="Body" dataDxfId="697">
      <calculatedColumnFormula>IF(Tabulka38111426[[#This Row],[Výsledný čas]]="N",5,IF(Tabulka38111426[[#This Row],[Výsledný čas]]="D",0,IF(Tabulka38111426[[#This Row],[Výsledný čas]]="NEÚČAST",0,Tabulka4[[#Totals],[Týmy muži]]+6-Tabulka38111426[[#This Row],[Umístění]])))</calculatedColumnFormula>
    </tableColumn>
  </tableColumns>
  <tableStyleInfo name="Styl tabulky 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DC85BFA1-1966-4007-A16D-60FED665EB01}" name="Tabulka59121527" displayName="Tabulka59121527" ref="AH3:AL22" totalsRowShown="0" headerRowDxfId="696" dataDxfId="695">
  <autoFilter ref="AH3:AL22" xr:uid="{0A08C00D-A582-4264-A100-7D00EC898DD5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H4:AL22">
    <sortCondition ref="AH4:AH22"/>
  </sortState>
  <tableColumns count="5">
    <tableColumn id="1" xr3:uid="{0F1389DA-8B41-4E75-8028-793C1474E97D}" name="Umístění" dataDxfId="694">
      <calculatedColumnFormula>_xlfn.RANK.EQ(Tabulka59121527[[#This Row],[Body]],Tabulka59121527[Body],0)</calculatedColumnFormula>
    </tableColumn>
    <tableColumn id="2" xr3:uid="{E2D7CB14-F719-40AA-B24A-3FF23E412504}" name="Tým" dataDxfId="693"/>
    <tableColumn id="3" xr3:uid="{8DA4E8A7-8350-4540-A3B9-CB62EE7BFCCF}" name="Body" dataDxfId="692">
      <calculatedColumnFormula>VLOOKUP(Tabulka59121527[[#This Row],[Tým]],Tabulka38111426[[Tým]:[Body]],6,FALSE)+Tabulka59121527[[#This Row],[ ]]</calculatedColumnFormula>
    </tableColumn>
    <tableColumn id="4" xr3:uid="{BF125493-7E02-4EA8-A28F-8CD34546343B}" name=" " dataDxfId="691">
      <calculatedColumnFormula>VLOOKUP(Tabulka59121527[[#This Row],[Tým]],Tabulka591215[[Tým]:[Body]],2,FALSE)</calculatedColumnFormula>
    </tableColumn>
    <tableColumn id="5" xr3:uid="{221C1A45-A8F4-42A2-A6EA-52FF4060406F}" name="Sloupec1" dataDxfId="690">
      <calculatedColumnFormula>Tabulka59121527[[#This Row],[Umístění]]</calculatedColumnFormula>
    </tableColumn>
  </tableColumns>
  <tableStyleInfo name="Styl tabulky 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D3C5C2-88EC-43B2-A098-BF3F04CA85F6}" name="Tabulka381114228" displayName="Tabulka381114228" ref="Z26:AF36" totalsRowShown="0" headerRowDxfId="689" dataDxfId="688">
  <autoFilter ref="Z26:AF36" xr:uid="{85A432A9-EAED-4601-841B-B8D71BCB493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xmlns:xlrd2="http://schemas.microsoft.com/office/spreadsheetml/2017/richdata2" ref="Z27:AF36">
    <sortCondition ref="Z27:Z36"/>
  </sortState>
  <tableColumns count="7">
    <tableColumn id="1" xr3:uid="{4E288775-B9C8-436B-A20B-CEF8748BE6B1}" name="Umístění" dataDxfId="687">
      <calculatedColumnFormula>IF(OR(Tabulka381114228[Výsledný čas]="N",Tabulka381114228[Výsledný čas]="D",Tabulka381114228[Výsledný čas]="NEÚČAST"),Uvod!$E$6,_xlfn.RANK.EQ(Tabulka381114228[[#This Row],[ ]],Tabulka381114228[[ ]],1))</calculatedColumnFormula>
    </tableColumn>
    <tableColumn id="2" xr3:uid="{1D614399-797E-42BB-ACE9-708463283351}" name="Tým" dataDxfId="686"/>
    <tableColumn id="3" xr3:uid="{6A28608E-2853-4E12-B482-EA129DF7FC43}" name="LP" dataDxfId="685">
      <calculatedColumnFormula>VLOOKUP(Tabulka381114228[[#This Row],[Tým]],Tabulka171013630[[Tým]:[ ]],2,FALSE)</calculatedColumnFormula>
    </tableColumn>
    <tableColumn id="4" xr3:uid="{F8086436-0803-454D-BF82-F75EB400135B}" name="PP" dataDxfId="684">
      <calculatedColumnFormula>VLOOKUP(Tabulka381114228[[#This Row],[Tým]],Tabulka171013630[[Tým]:[ ]],3,FALSE)</calculatedColumnFormula>
    </tableColumn>
    <tableColumn id="5" xr3:uid="{DA900EFE-A247-4134-9303-7E36EFC2CD8D}" name="Výsledný čas" dataDxfId="683">
      <calculatedColumnFormula>VLOOKUP(Tabulka381114228[[#This Row],[Tým]],Tabulka171013630[[Tým]:[ ]],4,FALSE)</calculatedColumnFormula>
    </tableColumn>
    <tableColumn id="6" xr3:uid="{C4D5EE18-7D0F-41DA-BEC0-0998B7D9AC98}" name=" " dataDxfId="682">
      <calculatedColumnFormula>VLOOKUP(Tabulka381114228[[#This Row],[Tým]],Tabulka171013630[[Tým]:[ ]],7,FALSE)</calculatedColumnFormula>
    </tableColumn>
    <tableColumn id="9" xr3:uid="{83951C52-F6DB-40F0-8A73-306FAE20F4BB}" name="Body" dataDxfId="681">
      <calculatedColumnFormula>IF(Tabulka381114228[[#This Row],[Výsledný čas]]="N",5,IF(Tabulka381114228[[#This Row],[Výsledný čas]]="D",0,IF(Tabulka381114228[[#This Row],[Výsledný čas]]="NEÚČAST",0,Tabulka8[[#Totals],[Týmy ženy]]+6-Tabulka381114228[[#This Row],[Umístění]])))</calculatedColumnFormula>
    </tableColumn>
  </tableColumns>
  <tableStyleInfo name="Styl tabulky 1 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693174E2-8567-450C-921F-DF79E71192E4}" name="Tabulka591215329" displayName="Tabulka591215329" ref="AH26:AL36" totalsRowShown="0" headerRowDxfId="680" dataDxfId="679">
  <autoFilter ref="AH26:AL36" xr:uid="{936496D5-1C85-47AE-BF72-87FD40DB1CAE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H27:AL36">
    <sortCondition ref="AH27:AH36"/>
  </sortState>
  <tableColumns count="5">
    <tableColumn id="1" xr3:uid="{99A132BD-882A-4E3F-8949-09EA64E7909A}" name="Umístění" dataDxfId="678">
      <calculatedColumnFormula>_xlfn.RANK.EQ(Tabulka591215329[[#This Row],[Body]],Tabulka591215329[Body],0)</calculatedColumnFormula>
    </tableColumn>
    <tableColumn id="2" xr3:uid="{25A668A1-1EEE-4414-B61A-D9AFB7F03756}" name="Tým" dataDxfId="677"/>
    <tableColumn id="3" xr3:uid="{6F532510-1F59-40F3-B83F-92C3D775B55C}" name="Body" dataDxfId="676">
      <calculatedColumnFormula>VLOOKUP(Tabulka591215329[[#This Row],[Tým]],Tabulka381114228[[Tým]:[Body]],6,FALSE)+Tabulka591215329[[#This Row],[ ]]</calculatedColumnFormula>
    </tableColumn>
    <tableColumn id="4" xr3:uid="{644E18EC-B568-4E7C-B426-F3369093DFB4}" name=" " dataDxfId="675">
      <calculatedColumnFormula>VLOOKUP(Tabulka591215329[[#This Row],[Tým]],Tabulka5912153[[Tým]:[Body]],2,FALSE)</calculatedColumnFormula>
    </tableColumn>
    <tableColumn id="5" xr3:uid="{B57D60BE-D5C3-4FFB-84BE-23FA9582DF9E}" name="Sloupec1" dataDxfId="674">
      <calculatedColumnFormula>Tabulka591215329[[#This Row],[Umístění]]</calculatedColumnFormula>
    </tableColumn>
  </tableColumns>
  <tableStyleInfo name="Styl tabulky 1 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F0359BBE-7CCF-41DE-B348-73FFDAE3516B}" name="Tabulka171013630" displayName="Tabulka171013630" ref="N3:V15" totalsRowShown="0" headerRowDxfId="673" dataDxfId="672">
  <autoFilter ref="N3:V15" xr:uid="{3B6B0F44-04D5-4BDE-9432-A266A6F818E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N4:V53">
    <sortCondition ref="O3:O53"/>
  </sortState>
  <tableColumns count="9">
    <tableColumn id="1" xr3:uid="{F48370B0-5535-48B2-B515-18A6B16DBF29}" name="Start. Poz." dataDxfId="671"/>
    <tableColumn id="2" xr3:uid="{03C444E8-FF7A-4FEE-969C-96084179C512}" name="Umístění" dataDxfId="670">
      <calculatedColumnFormula>IF(Tabulka171013630[[#This Row],[ ]]="","",IF(Tabulka171013630[[#This Row],[ ]]="NEÚČAST","",IF(OR(Tabulka171013630[Výsledný čas]="N",Tabulka171013630[Výsledný čas]="D"),$X$4-$X$5,_xlfn.RANK.EQ(Tabulka171013630[[#This Row],[ ]],Tabulka171013630[[ ]],1))))</calculatedColumnFormula>
    </tableColumn>
    <tableColumn id="3" xr3:uid="{21BE88A1-9ECA-4416-B596-7131C08DFA84}" name="Tým" dataDxfId="669"/>
    <tableColumn id="4" xr3:uid="{88781F1C-DE5A-4DC4-BD6C-0DC5BBBE452D}" name="LP" dataDxfId="668"/>
    <tableColumn id="5" xr3:uid="{106EB754-A58E-425B-87DC-F0397F28B58B}" name="PP" dataDxfId="667"/>
    <tableColumn id="6" xr3:uid="{02164979-1F17-490B-90F6-DFFE0995CB4D}" name="Výsledný čas" dataDxfId="666">
      <calculatedColumnFormula>IF(OR(Tabulka171013630[[#This Row],[LP]]="N",Tabulka171013630[[#This Row],[PP]]="N"),"N",IF(OR(Tabulka171013630[[#This Row],[LP]]="D",Tabulka171013630[[#This Row],[PP]]="D"),"D",IF(OR(Tabulka171013630[[#This Row],[LP]]="NEÚČAST",Tabulka171013630[[#This Row],[PP]]="NEÚČAST"),"NEÚČAST",IF(OR(Tabulka171013630[[#This Row],[LP]]="",Tabulka171013630[[#This Row],[PP]]=""),"",MAX(Tabulka171013630[[#This Row],[LP]:[PP]])))))</calculatedColumnFormula>
    </tableColumn>
    <tableColumn id="10" xr3:uid="{FD6EC456-BF1E-479A-B8CD-5806D7AAA23E}" name="Sloupec2" dataDxfId="665">
      <calculatedColumnFormula>COUNTIF(Tabulka171013630[[#This Row],[Tým]],"*")</calculatedColumnFormula>
    </tableColumn>
    <tableColumn id="8" xr3:uid="{953FF782-5608-4EBF-8DB5-FE844C28E0D0}" name="Sloupec1" dataDxfId="664">
      <calculatedColumnFormula>COUNTIF(Tabulka171013630[[#This Row],[Výsledný čas]],"NEÚČAST")</calculatedColumnFormula>
    </tableColumn>
    <tableColumn id="7" xr3:uid="{C205064A-A99D-4B63-8926-49103010CADE}" name=" " dataDxfId="663">
      <calculatedColumnFormula>IF(Tabulka171013630[[#This Row],[Výsledný čas]]="N",998,IF(Tabulka171013630[[#This Row],[Výsledný čas]]="D",998,IF(Tabulka171013630[[#This Row],[Výsledný čas]]="","",Tabulka171013630[[#This Row],[Výsledný čas]])))</calculatedColumnFormula>
    </tableColumn>
  </tableColumns>
  <tableStyleInfo name="Styl tabulky 1 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5900CF8-8ED1-4F08-8396-32E7E596AAD9}" name="Tabulka1710132531" displayName="Tabulka1710132531" ref="B3:J32" totalsRowShown="0" headerRowDxfId="662" dataDxfId="661">
  <autoFilter ref="B3:J32" xr:uid="{62D044D3-D427-4706-A77D-7F311383422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4:J53">
    <sortCondition ref="C3:C53"/>
  </sortState>
  <tableColumns count="9">
    <tableColumn id="1" xr3:uid="{1D27C8EB-784B-45EA-9864-A235266F8B4B}" name="Start. Poz." dataDxfId="660"/>
    <tableColumn id="2" xr3:uid="{18C5A982-475C-4491-8B89-FA6B6517812A}" name="Umístění" dataDxfId="659">
      <calculatedColumnFormula>IF(Tabulka1710132531[[#This Row],[ ]]="","",IF(Tabulka1710132531[[#This Row],[ ]]="NEÚČAST","",IF(OR(Tabulka1710132531[Výsledný čas]="N",Tabulka1710132531[Výsledný čas]="D"),$L$4-$L$5,_xlfn.RANK.EQ(Tabulka1710132531[[#This Row],[ ]],Tabulka1710132531[[ ]],1))))</calculatedColumnFormula>
    </tableColumn>
    <tableColumn id="3" xr3:uid="{C7D481B1-CB60-4A49-AC6F-603BC12040F5}" name="Tým" dataDxfId="658"/>
    <tableColumn id="4" xr3:uid="{645369F8-355D-43DC-9385-5184CF3B2B28}" name="LP" dataDxfId="657"/>
    <tableColumn id="5" xr3:uid="{81F0608C-4185-4447-9D9A-9466F31E41E1}" name="PP" dataDxfId="656"/>
    <tableColumn id="6" xr3:uid="{5315CEB1-E560-4BB6-A0D5-11E429B88841}" name="Výsledný čas" dataDxfId="655">
      <calculatedColumnFormula>IF(OR(Tabulka1710132531[[#This Row],[LP]]="N",Tabulka1710132531[[#This Row],[PP]]="N"),"N",IF(OR(Tabulka1710132531[[#This Row],[LP]]="D",Tabulka1710132531[[#This Row],[PP]]="D"),"D",IF(OR(Tabulka1710132531[[#This Row],[LP]]="NEÚČAST",Tabulka1710132531[[#This Row],[PP]]="NEÚČAST"),"NEÚČAST",IF(OR(Tabulka1710132531[[#This Row],[LP]]="",Tabulka1710132531[[#This Row],[PP]]=""),"",MAX(Tabulka1710132531[[#This Row],[LP]:[PP]])))))</calculatedColumnFormula>
    </tableColumn>
    <tableColumn id="8" xr3:uid="{1A6C89EA-3D07-49D8-9C54-E64138F45CFD}" name="Sloupec1" dataDxfId="654">
      <calculatedColumnFormula>COUNTIF(Tabulka1710132531[[#This Row],[Tým]],"*")</calculatedColumnFormula>
    </tableColumn>
    <tableColumn id="9" xr3:uid="{705410C3-0F0F-4C71-AE40-A2DD87693FFC}" name="Sloupec2" dataDxfId="653">
      <calculatedColumnFormula>COUNTIF(Tabulka1710132531[[#This Row],[Výsledný čas]],"NEÚČAST")</calculatedColumnFormula>
    </tableColumn>
    <tableColumn id="7" xr3:uid="{F96F4703-88FA-4ED6-90A7-B32ADB3CCCB2}" name=" " dataDxfId="652">
      <calculatedColumnFormula>IF(Tabulka1710132531[[#This Row],[Výsledný čas]]="N",998,IF(Tabulka1710132531[[#This Row],[Výsledný čas]]="D",998,IF(Tabulka1710132531[[#This Row],[Výsledný čas]]="","",Tabulka1710132531[[#This Row],[Výsledný čas]])))</calculatedColumnFormula>
    </tableColumn>
  </tableColumns>
  <tableStyleInfo name="Styl tabulky 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64891950-76C0-43FD-815B-3126F6AB1421}" name="Tabulka3811142632" displayName="Tabulka3811142632" ref="Z3:AF22" totalsRowShown="0" headerRowDxfId="651" dataDxfId="650">
  <autoFilter ref="Z3:AF22" xr:uid="{083BB06C-1560-470E-A308-0377A133B66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xmlns:xlrd2="http://schemas.microsoft.com/office/spreadsheetml/2017/richdata2" ref="Z4:AF22">
    <sortCondition descending="1" ref="AF4:AF22"/>
  </sortState>
  <tableColumns count="7">
    <tableColumn id="1" xr3:uid="{3618C5A2-AAC1-462D-9B16-055372DD0C5F}" name="Umístění" dataDxfId="649">
      <calculatedColumnFormula>IF(OR(Tabulka3811142632[Výsledný čas]="N",Tabulka3811142632[Výsledný čas]="D",Tabulka3811142632[Výsledný čas]="NEÚČAST"),Uvod!$E$4,_xlfn.RANK.EQ(Tabulka3811142632[[#This Row],[ ]],Tabulka3811142632[[ ]],1))</calculatedColumnFormula>
    </tableColumn>
    <tableColumn id="2" xr3:uid="{FC5955E6-D597-4796-B34F-03AA470F7005}" name="Tým" dataDxfId="648"/>
    <tableColumn id="3" xr3:uid="{B8DE554C-839D-48E8-8AFD-34C7D5DED961}" name="LP" dataDxfId="647">
      <calculatedColumnFormula>VLOOKUP(Tabulka3811142632[[#This Row],[Tým]],Tabulka1710132531[[Tým]:[ ]],2,FALSE)</calculatedColumnFormula>
    </tableColumn>
    <tableColumn id="4" xr3:uid="{9D1881B3-CD9A-4FA4-93B5-097430ACEB6C}" name="PP" dataDxfId="646">
      <calculatedColumnFormula>VLOOKUP(Tabulka3811142632[[#This Row],[Tým]],Tabulka1710132531[[Tým]:[ ]],3,FALSE)</calculatedColumnFormula>
    </tableColumn>
    <tableColumn id="5" xr3:uid="{E928EA1C-B973-4ACC-AF2F-8D90850A94F3}" name="Výsledný čas" dataDxfId="645">
      <calculatedColumnFormula>VLOOKUP(Tabulka3811142632[[#This Row],[Tým]],Tabulka1710132531[[Tým]:[ ]],4,FALSE)</calculatedColumnFormula>
    </tableColumn>
    <tableColumn id="6" xr3:uid="{D59BF5A9-B705-40C3-B4A5-FFE546FC6E50}" name=" " dataDxfId="644">
      <calculatedColumnFormula>VLOOKUP(Tabulka3811142632[[#This Row],[Tým]],Tabulka1710132531[[Tým]:[ ]],7,FALSE)</calculatedColumnFormula>
    </tableColumn>
    <tableColumn id="9" xr3:uid="{7A5DA556-0452-4028-974D-3547671FD465}" name="Body" dataDxfId="643">
      <calculatedColumnFormula>IF(Tabulka3811142632[[#This Row],[Výsledný čas]]="N",5,IF(Tabulka3811142632[[#This Row],[Výsledný čas]]="D",0,IF(Tabulka3811142632[[#This Row],[Výsledný čas]]="NEÚČAST",0,Tabulka4[[#Totals],[Týmy muži]]+6-Tabulka3811142632[[#This Row],[Umístění]])))</calculatedColumnFormula>
    </tableColumn>
  </tableColumns>
  <tableStyleInfo name="Styl tabulky 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783E6299-706C-4626-9F49-BB999949051E}" name="Tabulka5912152733" displayName="Tabulka5912152733" ref="AH3:AL22" totalsRowShown="0" headerRowDxfId="642" dataDxfId="641">
  <autoFilter ref="AH3:AL22" xr:uid="{0A08C00D-A582-4264-A100-7D00EC898DD5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H4:AL22">
    <sortCondition ref="AH4:AH22"/>
  </sortState>
  <tableColumns count="5">
    <tableColumn id="1" xr3:uid="{238FD6B7-B505-4005-AB3A-D73B7033B69A}" name="Umístění" dataDxfId="640">
      <calculatedColumnFormula>_xlfn.RANK.EQ(Tabulka5912152733[[#This Row],[Body]],Tabulka5912152733[Body],0)</calculatedColumnFormula>
    </tableColumn>
    <tableColumn id="2" xr3:uid="{E7F9A157-693B-429A-B022-C6AC613FB917}" name="Tým" dataDxfId="639"/>
    <tableColumn id="3" xr3:uid="{0E292588-DE58-42AB-84B2-9FBB9FF0EE0D}" name="Body" dataDxfId="638">
      <calculatedColumnFormula>VLOOKUP(Tabulka5912152733[[#This Row],[Tým]],Tabulka3811142632[[Tým]:[Body]],6,FALSE)+Tabulka5912152733[[#This Row],[ ]]</calculatedColumnFormula>
    </tableColumn>
    <tableColumn id="4" xr3:uid="{F454BF16-AA80-411E-85AF-7B85A2202EC1}" name=" " dataDxfId="637">
      <calculatedColumnFormula>VLOOKUP(Tabulka5912152733[[#This Row],[Tým]],Tabulka59121527[[Tým]:[Body]],2,FALSE)</calculatedColumnFormula>
    </tableColumn>
    <tableColumn id="5" xr3:uid="{0658AAD6-A7B4-4986-A4E4-8C64D6DCDEC5}" name="Sloupec1" dataDxfId="636">
      <calculatedColumnFormula>Tabulka5912152733[[#This Row],[Umístění]]</calculatedColumnFormula>
    </tableColumn>
  </tableColumns>
  <tableStyleInfo name="Styl tabulky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2887306-19EC-45A9-8B6F-D9DC26266474}" name="Tabulka3" displayName="Tabulka3" ref="M4:N23" totalsRowShown="0">
  <autoFilter ref="M4:N23" xr:uid="{32887306-19EC-45A9-8B6F-D9DC26266474}"/>
  <tableColumns count="2">
    <tableColumn id="1" xr3:uid="{89B24462-5005-4D07-BCBD-BDDB016170F3}" name="Sloupec1"/>
    <tableColumn id="2" xr3:uid="{6C4A376D-FC20-4677-A3CB-20685C827196}" name="Sloupec2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BA74A39D-2881-4428-BD10-23F9E58A462C}" name="Tabulka38111422834" displayName="Tabulka38111422834" ref="Z26:AF36" totalsRowShown="0" headerRowDxfId="635" dataDxfId="634">
  <autoFilter ref="Z26:AF36" xr:uid="{85A432A9-EAED-4601-841B-B8D71BCB493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xmlns:xlrd2="http://schemas.microsoft.com/office/spreadsheetml/2017/richdata2" ref="Z27:AF36">
    <sortCondition ref="Z27:Z36"/>
  </sortState>
  <tableColumns count="7">
    <tableColumn id="1" xr3:uid="{55F9BB8F-950C-4A1B-89E8-AAF14B338B37}" name="Umístění" dataDxfId="633">
      <calculatedColumnFormula>IF(OR(Tabulka38111422834[Výsledný čas]="N",Tabulka38111422834[Výsledný čas]="D",Tabulka38111422834[Výsledný čas]="NEÚČAST"),Uvod!$E$6,_xlfn.RANK.EQ(Tabulka38111422834[[#This Row],[ ]],Tabulka38111422834[[ ]],1))</calculatedColumnFormula>
    </tableColumn>
    <tableColumn id="2" xr3:uid="{50A50FF7-B7E3-4D2F-B11E-711455C67332}" name="Tým" dataDxfId="632"/>
    <tableColumn id="3" xr3:uid="{862C9E96-16F0-4064-8FDD-12918C613E93}" name="LP" dataDxfId="631">
      <calculatedColumnFormula>VLOOKUP(Tabulka38111422834[[#This Row],[Tým]],Tabulka17101363036[[Tým]:[ ]],2,FALSE)</calculatedColumnFormula>
    </tableColumn>
    <tableColumn id="4" xr3:uid="{524318A3-BBCE-4D50-BCDC-98687C2E5CD4}" name="PP" dataDxfId="630">
      <calculatedColumnFormula>VLOOKUP(Tabulka38111422834[[#This Row],[Tým]],Tabulka17101363036[[Tým]:[ ]],3,FALSE)</calculatedColumnFormula>
    </tableColumn>
    <tableColumn id="5" xr3:uid="{61106CBB-E3C3-4BC0-A835-D4239CB26829}" name="Výsledný čas" dataDxfId="629">
      <calculatedColumnFormula>VLOOKUP(Tabulka38111422834[[#This Row],[Tým]],Tabulka17101363036[[Tým]:[ ]],4,FALSE)</calculatedColumnFormula>
    </tableColumn>
    <tableColumn id="6" xr3:uid="{1A2E40C5-D147-42EA-B02C-105791A47DBA}" name=" " dataDxfId="628">
      <calculatedColumnFormula>VLOOKUP(Tabulka38111422834[[#This Row],[Tým]],Tabulka17101363036[[Tým]:[ ]],7,FALSE)</calculatedColumnFormula>
    </tableColumn>
    <tableColumn id="9" xr3:uid="{26D9746D-3488-44CA-95B2-238A8CC96D2B}" name="Body" dataDxfId="627">
      <calculatedColumnFormula>IF(Tabulka38111422834[[#This Row],[Výsledný čas]]="N",5,IF(Tabulka38111422834[[#This Row],[Výsledný čas]]="D",0,IF(Tabulka38111422834[[#This Row],[Výsledný čas]]="NEÚČAST",0,Tabulka8[[#Totals],[Týmy ženy]]+6-Tabulka38111422834[[#This Row],[Umístění]])))</calculatedColumnFormula>
    </tableColumn>
  </tableColumns>
  <tableStyleInfo name="Styl tabulky 1 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766A4AA0-A713-40DC-8EED-06224A23AB1C}" name="Tabulka59121532935" displayName="Tabulka59121532935" ref="AH26:AL36" totalsRowShown="0" headerRowDxfId="626" dataDxfId="625">
  <autoFilter ref="AH26:AL36" xr:uid="{936496D5-1C85-47AE-BF72-87FD40DB1CAE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H27:AL36">
    <sortCondition ref="AH27:AH36"/>
  </sortState>
  <tableColumns count="5">
    <tableColumn id="1" xr3:uid="{CC034A42-C48C-42DC-919E-297237B09EE4}" name="Umístění" dataDxfId="624">
      <calculatedColumnFormula>_xlfn.RANK.EQ(Tabulka59121532935[[#This Row],[Body]],Tabulka59121532935[Body],0)</calculatedColumnFormula>
    </tableColumn>
    <tableColumn id="2" xr3:uid="{BF99724B-8CC5-4A2F-B1FF-D81D8BA499D4}" name="Tým" dataDxfId="623"/>
    <tableColumn id="3" xr3:uid="{927EFA99-7E9C-4FE4-BBCE-6E4EC7590914}" name="Body" dataDxfId="622">
      <calculatedColumnFormula>VLOOKUP(Tabulka59121532935[[#This Row],[Tým]],Tabulka38111422834[[Tým]:[Body]],6,FALSE)+Tabulka59121532935[[#This Row],[ ]]</calculatedColumnFormula>
    </tableColumn>
    <tableColumn id="4" xr3:uid="{4A9D7DBB-F230-4288-995C-BA25F05D2CD1}" name=" " dataDxfId="621">
      <calculatedColumnFormula>VLOOKUP(Tabulka59121532935[[#This Row],[Tým]],Tabulka591215329[[Tým]:[Body]],2,FALSE)</calculatedColumnFormula>
    </tableColumn>
    <tableColumn id="5" xr3:uid="{8898CFA7-85C1-455D-97E6-AB4143D0CFC3}" name="Sloupec1" dataDxfId="620">
      <calculatedColumnFormula>Tabulka59121532935[[#This Row],[Umístění]]</calculatedColumnFormula>
    </tableColumn>
  </tableColumns>
  <tableStyleInfo name="Styl tabulky 1 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D2E643EF-2B0F-498D-B1B5-EBB52853F923}" name="Tabulka17101363036" displayName="Tabulka17101363036" ref="N3:V19" totalsRowShown="0" headerRowDxfId="619" dataDxfId="618">
  <autoFilter ref="N3:V19" xr:uid="{3B6B0F44-04D5-4BDE-9432-A266A6F818E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N4:V53">
    <sortCondition ref="O3:O53"/>
  </sortState>
  <tableColumns count="9">
    <tableColumn id="1" xr3:uid="{16C63139-824A-41EB-9D05-06124BBAFED4}" name="Start. Poz." dataDxfId="617"/>
    <tableColumn id="2" xr3:uid="{965A8FF2-5E4E-4048-ACA8-DC035AA39A43}" name="Umístění" dataDxfId="616">
      <calculatedColumnFormula>IF(Tabulka17101363036[[#This Row],[ ]]="","",IF(Tabulka17101363036[[#This Row],[ ]]="NEÚČAST","",IF(OR(Tabulka17101363036[Výsledný čas]="N",Tabulka17101363036[Výsledný čas]="D"),$X$4-$X$5,_xlfn.RANK.EQ(Tabulka17101363036[[#This Row],[ ]],Tabulka17101363036[[ ]],1))))</calculatedColumnFormula>
    </tableColumn>
    <tableColumn id="3" xr3:uid="{2FE42BE9-9673-4D9F-8BEB-486F012DD475}" name="Tým" dataDxfId="615"/>
    <tableColumn id="4" xr3:uid="{D9E1E490-BF2D-4532-A783-1566CFDD5DD9}" name="LP" dataDxfId="614"/>
    <tableColumn id="5" xr3:uid="{BE24563F-8F1F-4029-AD88-D505658BE606}" name="PP" dataDxfId="613"/>
    <tableColumn id="6" xr3:uid="{E728C9FD-4888-41E2-8D56-C060499C8991}" name="Výsledný čas" dataDxfId="612">
      <calculatedColumnFormula>IF(OR(Tabulka17101363036[[#This Row],[LP]]="N",Tabulka17101363036[[#This Row],[PP]]="N"),"N",IF(OR(Tabulka17101363036[[#This Row],[LP]]="D",Tabulka17101363036[[#This Row],[PP]]="D"),"D",IF(OR(Tabulka17101363036[[#This Row],[LP]]="NEÚČAST",Tabulka17101363036[[#This Row],[PP]]="NEÚČAST"),"NEÚČAST",IF(OR(Tabulka17101363036[[#This Row],[LP]]="",Tabulka17101363036[[#This Row],[PP]]=""),"",MAX(Tabulka17101363036[[#This Row],[LP]:[PP]])))))</calculatedColumnFormula>
    </tableColumn>
    <tableColumn id="8" xr3:uid="{1E5F5E96-7029-4211-B47A-0CF03B3B4814}" name="Sloupec1" dataDxfId="611">
      <calculatedColumnFormula>COUNTIF(Tabulka17101363036[[#This Row],[Tým]],"*")</calculatedColumnFormula>
    </tableColumn>
    <tableColumn id="9" xr3:uid="{85562973-45D6-4030-9463-C864D4462738}" name="Sloupec2" dataDxfId="610">
      <calculatedColumnFormula>COUNTIF(Tabulka17101363036[[#This Row],[Výsledný čas]],"NEÚČAST")</calculatedColumnFormula>
    </tableColumn>
    <tableColumn id="7" xr3:uid="{783A5603-B0D4-4678-9818-98EF81D19B77}" name=" " dataDxfId="609">
      <calculatedColumnFormula>IF(Tabulka17101363036[[#This Row],[Výsledný čas]]="N",998,IF(Tabulka17101363036[[#This Row],[Výsledný čas]]="D",998,IF(Tabulka17101363036[[#This Row],[Výsledný čas]]="","",Tabulka17101363036[[#This Row],[Výsledný čas]])))</calculatedColumnFormula>
    </tableColumn>
  </tableColumns>
  <tableStyleInfo name="Styl tabulky 1 2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3CF273ED-F28F-4A37-9CD1-6ACB7DBFA654}" name="Tabulka171013253137" displayName="Tabulka171013253137" ref="B3:J26" totalsRowShown="0" headerRowDxfId="608" dataDxfId="606" headerRowBorderDxfId="607">
  <autoFilter ref="B3:J26" xr:uid="{62D044D3-D427-4706-A77D-7F311383422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4:J53">
    <sortCondition ref="C3:C53"/>
  </sortState>
  <tableColumns count="9">
    <tableColumn id="1" xr3:uid="{0CDE4835-34FB-42F0-9A57-F98C1746E529}" name="Start. Poz." dataDxfId="605"/>
    <tableColumn id="2" xr3:uid="{B69173EA-620C-48C1-AA41-F60811E93D82}" name="Umístění" dataDxfId="604">
      <calculatedColumnFormula>IF(Tabulka171013253137[[#This Row],[ ]]="","",IF(Tabulka171013253137[[#This Row],[ ]]="NEÚČAST","",IF(OR(Tabulka171013253137[Výsledný čas]="N",Tabulka171013253137[Výsledný čas]="D"),$L$4-$L$5,_xlfn.RANK.EQ(Tabulka171013253137[[#This Row],[ ]],Tabulka171013253137[[ ]],1))))</calculatedColumnFormula>
    </tableColumn>
    <tableColumn id="3" xr3:uid="{D5378F16-E0AD-4CA0-9E04-1319F20F0895}" name="Tým" dataDxfId="603"/>
    <tableColumn id="4" xr3:uid="{485D52A0-84EF-4D7E-B58A-36662D8BB6EE}" name="LP" dataDxfId="602"/>
    <tableColumn id="5" xr3:uid="{2D13C81D-3999-4193-B2CE-01066BDFE91A}" name="PP" dataDxfId="601"/>
    <tableColumn id="6" xr3:uid="{6695DF71-69C1-40B0-8F08-19FB8DA7AFE5}" name="Výsledný čas" dataDxfId="600">
      <calculatedColumnFormula>IF(OR(Tabulka171013253137[[#This Row],[LP]]="N",Tabulka171013253137[[#This Row],[PP]]="N"),"N",IF(OR(Tabulka171013253137[[#This Row],[LP]]="D",Tabulka171013253137[[#This Row],[PP]]="D"),"D",IF(OR(Tabulka171013253137[[#This Row],[LP]]="NEÚČAST",Tabulka171013253137[[#This Row],[PP]]="NEÚČAST"),"NEÚČAST",IF(OR(Tabulka171013253137[[#This Row],[LP]]="",Tabulka171013253137[[#This Row],[PP]]=""),"",MAX(Tabulka171013253137[[#This Row],[LP]:[PP]])))))</calculatedColumnFormula>
    </tableColumn>
    <tableColumn id="8" xr3:uid="{FD067C09-1E77-49DC-B51F-CF67A965BB8E}" name="Sloupec1" dataDxfId="599">
      <calculatedColumnFormula>COUNTIF(Tabulka171013253137[[#This Row],[Tým]],"*")</calculatedColumnFormula>
    </tableColumn>
    <tableColumn id="9" xr3:uid="{34FB7E5A-D604-4948-8005-92CDAAA6AFE8}" name="Sloupec2" dataDxfId="598">
      <calculatedColumnFormula>COUNTIF(Tabulka171013253137[[#This Row],[Výsledný čas]],"NEÚČAST")</calculatedColumnFormula>
    </tableColumn>
    <tableColumn id="7" xr3:uid="{2595F31B-275E-485E-AFBF-90C7896A5574}" name=" " dataDxfId="597">
      <calculatedColumnFormula>IF(Tabulka171013253137[[#This Row],[Výsledný čas]]="N",998,IF(Tabulka171013253137[[#This Row],[Výsledný čas]]="D",998,IF(Tabulka171013253137[[#This Row],[Výsledný čas]]="","",Tabulka171013253137[[#This Row],[Výsledný čas]])))</calculatedColumnFormula>
    </tableColumn>
  </tableColumns>
  <tableStyleInfo name="Styl tabulky 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32EE1C9C-4D24-4CAC-AD2B-E16759206CF9}" name="Tabulka381114263238" displayName="Tabulka381114263238" ref="Z3:AF22" totalsRowShown="0" headerRowDxfId="596" dataDxfId="595">
  <autoFilter ref="Z3:AF22" xr:uid="{083BB06C-1560-470E-A308-0377A133B66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xmlns:xlrd2="http://schemas.microsoft.com/office/spreadsheetml/2017/richdata2" ref="Z4:AF22">
    <sortCondition descending="1" ref="AF4:AF22"/>
  </sortState>
  <tableColumns count="7">
    <tableColumn id="1" xr3:uid="{2BE6B7C6-AAAD-45DC-857E-A882D553CC5C}" name="Umístění" dataDxfId="594">
      <calculatedColumnFormula>IF(OR(Tabulka381114263238[Výsledný čas]="N",Tabulka381114263238[Výsledný čas]="D",Tabulka381114263238[Výsledný čas]="NEÚČAST"),Uvod!$E$4,_xlfn.RANK.EQ(Tabulka381114263238[[#This Row],[ ]],Tabulka381114263238[[ ]],1))</calculatedColumnFormula>
    </tableColumn>
    <tableColumn id="2" xr3:uid="{FF8BFCC6-0EEF-4BFD-81F9-F11E8B8ED5A2}" name="Tým" dataDxfId="593"/>
    <tableColumn id="3" xr3:uid="{95766657-CE9B-4A19-8D66-B5A68A428DE7}" name="LP" dataDxfId="592">
      <calculatedColumnFormula>VLOOKUP(Tabulka381114263238[[#This Row],[Tým]],Tabulka171013253137[[Tým]:[ ]],2,FALSE)</calculatedColumnFormula>
    </tableColumn>
    <tableColumn id="4" xr3:uid="{4BF108D0-EA14-4817-86D5-E1F43A53F26E}" name="PP" dataDxfId="591">
      <calculatedColumnFormula>VLOOKUP(Tabulka381114263238[[#This Row],[Tým]],Tabulka171013253137[[Tým]:[ ]],3,FALSE)</calculatedColumnFormula>
    </tableColumn>
    <tableColumn id="5" xr3:uid="{19885F54-495F-4C8D-85B8-A6A73B583C83}" name="Výsledný čas" dataDxfId="590">
      <calculatedColumnFormula>VLOOKUP(Tabulka381114263238[[#This Row],[Tým]],Tabulka171013253137[[Tým]:[ ]],4,FALSE)</calculatedColumnFormula>
    </tableColumn>
    <tableColumn id="6" xr3:uid="{1713913B-D0EA-41E9-96D3-AA67B5603A93}" name=" " dataDxfId="589">
      <calculatedColumnFormula>VLOOKUP(Tabulka381114263238[[#This Row],[Tým]],Tabulka171013253137[[Tým]:[ ]],7,FALSE)</calculatedColumnFormula>
    </tableColumn>
    <tableColumn id="9" xr3:uid="{14A1F182-EFF1-4C00-B0B2-843F90C5C544}" name="Body" dataDxfId="588">
      <calculatedColumnFormula>IF(Tabulka381114263238[[#This Row],[Výsledný čas]]="N",5,IF(Tabulka381114263238[[#This Row],[Výsledný čas]]="D",0,IF(Tabulka381114263238[[#This Row],[Výsledný čas]]="NEÚČAST",0,Tabulka4[[#Totals],[Týmy muži]]+6-Tabulka381114263238[[#This Row],[Umístění]])))</calculatedColumnFormula>
    </tableColumn>
  </tableColumns>
  <tableStyleInfo name="Styl tabulky 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CA218440-D2AF-42E9-9859-A3509F3FD804}" name="Tabulka591215273339" displayName="Tabulka591215273339" ref="AH3:AL22" totalsRowShown="0" headerRowDxfId="587" dataDxfId="586">
  <autoFilter ref="AH3:AL22" xr:uid="{0A08C00D-A582-4264-A100-7D00EC898DD5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H4:AL22">
    <sortCondition ref="AH4:AH22"/>
  </sortState>
  <tableColumns count="5">
    <tableColumn id="1" xr3:uid="{4CB4A414-9B62-4695-AC64-1810F488B39B}" name="Umístění" dataDxfId="585">
      <calculatedColumnFormula>_xlfn.RANK.EQ(Tabulka591215273339[[#This Row],[Body]],Tabulka591215273339[Body],0)</calculatedColumnFormula>
    </tableColumn>
    <tableColumn id="2" xr3:uid="{2141954D-CF27-4945-A1B1-FDC3E7A7A909}" name="Tým" dataDxfId="584"/>
    <tableColumn id="3" xr3:uid="{3938A288-7C66-4A4D-B051-484CA060908D}" name="Body" dataDxfId="583">
      <calculatedColumnFormula>VLOOKUP(Tabulka591215273339[[#This Row],[Tým]],Tabulka381114263238[[Tým]:[Body]],6,FALSE)+Tabulka591215273339[[#This Row],[ ]]</calculatedColumnFormula>
    </tableColumn>
    <tableColumn id="4" xr3:uid="{64C23C11-7072-4EEE-84AB-B1AEE6591A50}" name=" " dataDxfId="582">
      <calculatedColumnFormula>VLOOKUP(Tabulka591215273339[[#This Row],[Tým]],Tabulka5912152733[[Tým]:[Body]],2,FALSE)</calculatedColumnFormula>
    </tableColumn>
    <tableColumn id="5" xr3:uid="{4FA39B50-2705-4D7A-A1C8-736559771B6E}" name="Sloupec1" dataDxfId="581">
      <calculatedColumnFormula>Tabulka591215273339[[#This Row],[Umístění]]</calculatedColumnFormula>
    </tableColumn>
  </tableColumns>
  <tableStyleInfo name="Styl tabulky 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63927373-B5E2-4B63-A534-1B1269626DD9}" name="Tabulka3811142283440" displayName="Tabulka3811142283440" ref="Z26:AF36" totalsRowShown="0" headerRowDxfId="580" dataDxfId="579">
  <autoFilter ref="Z26:AF36" xr:uid="{85A432A9-EAED-4601-841B-B8D71BCB493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xmlns:xlrd2="http://schemas.microsoft.com/office/spreadsheetml/2017/richdata2" ref="Z27:AF36">
    <sortCondition descending="1" ref="AF27:AF36"/>
  </sortState>
  <tableColumns count="7">
    <tableColumn id="1" xr3:uid="{2EAE1854-1B43-4CD4-9B68-94A352A691DC}" name="Umístění" dataDxfId="578">
      <calculatedColumnFormula>IF(OR(Tabulka3811142283440[Výsledný čas]="N",Tabulka3811142283440[Výsledný čas]="D",Tabulka3811142283440[Výsledný čas]="NEÚČAST"),Uvod!$E$6,_xlfn.RANK.EQ(Tabulka3811142283440[[#This Row],[ ]],Tabulka3811142283440[[ ]],1))</calculatedColumnFormula>
    </tableColumn>
    <tableColumn id="2" xr3:uid="{9BFD5802-5B3A-4ED1-85F1-22A075D11690}" name="Tým" dataDxfId="577"/>
    <tableColumn id="3" xr3:uid="{58F5C634-A6B3-4DAE-A223-DEEBAC38F07D}" name="LP" dataDxfId="576">
      <calculatedColumnFormula>VLOOKUP(Tabulka3811142283440[[#This Row],[Tým]],Tabulka1710136303642[[Tým]:[ ]],2,FALSE)</calculatedColumnFormula>
    </tableColumn>
    <tableColumn id="4" xr3:uid="{89D7E297-66B4-454D-9098-918EE402EF73}" name="PP" dataDxfId="575">
      <calculatedColumnFormula>VLOOKUP(Tabulka3811142283440[[#This Row],[Tým]],Tabulka1710136303642[[Tým]:[ ]],3,FALSE)</calculatedColumnFormula>
    </tableColumn>
    <tableColumn id="5" xr3:uid="{9AEEED76-2C4A-44CF-9D75-B33678023789}" name="Výsledný čas" dataDxfId="574">
      <calculatedColumnFormula>VLOOKUP(Tabulka3811142283440[[#This Row],[Tým]],Tabulka1710136303642[[Tým]:[ ]],4,FALSE)</calculatedColumnFormula>
    </tableColumn>
    <tableColumn id="6" xr3:uid="{92515CDC-64E4-4FA1-8D4F-F5AD3D83DFBC}" name=" " dataDxfId="573">
      <calculatedColumnFormula>VLOOKUP(Tabulka3811142283440[[#This Row],[Tým]],Tabulka1710136303642[[Tým]:[ ]],7,FALSE)</calculatedColumnFormula>
    </tableColumn>
    <tableColumn id="9" xr3:uid="{55B8CE3D-B004-418B-AFB4-9CAEE65FE024}" name="Body" dataDxfId="572">
      <calculatedColumnFormula>IF(Tabulka3811142283440[[#This Row],[Výsledný čas]]="N",5,IF(Tabulka3811142283440[[#This Row],[Výsledný čas]]="D",0,IF(Tabulka3811142283440[[#This Row],[Výsledný čas]]="NEÚČAST",0,Tabulka8[[#Totals],[Týmy ženy]]+6-Tabulka3811142283440[[#This Row],[Umístění]])))</calculatedColumnFormula>
    </tableColumn>
  </tableColumns>
  <tableStyleInfo name="Styl tabulky 1 2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2A75703D-A9B4-4D1E-AA31-9EBF67B0AD4F}" name="Tabulka5912153293541" displayName="Tabulka5912153293541" ref="AH26:AL36" totalsRowShown="0" headerRowDxfId="571" dataDxfId="570">
  <autoFilter ref="AH26:AL36" xr:uid="{936496D5-1C85-47AE-BF72-87FD40DB1CAE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H27:AL36">
    <sortCondition ref="AH27:AH36"/>
  </sortState>
  <tableColumns count="5">
    <tableColumn id="1" xr3:uid="{2A864F24-F76A-43C0-97F8-940B25602B98}" name="Umístění" dataDxfId="569">
      <calculatedColumnFormula>_xlfn.RANK.EQ(Tabulka5912153293541[[#This Row],[Body]],Tabulka5912153293541[Body],0)</calculatedColumnFormula>
    </tableColumn>
    <tableColumn id="2" xr3:uid="{4DACB5BF-842F-459B-B5FF-34E34E6229EC}" name="Tým" dataDxfId="568"/>
    <tableColumn id="3" xr3:uid="{3C3BF56D-B90C-483D-8122-7A021650AB05}" name="Body" dataDxfId="567">
      <calculatedColumnFormula>VLOOKUP(Tabulka5912153293541[[#This Row],[Tým]],Tabulka3811142283440[[Tým]:[Body]],6,FALSE)+Tabulka5912153293541[[#This Row],[ ]]</calculatedColumnFormula>
    </tableColumn>
    <tableColumn id="4" xr3:uid="{0F50772A-2902-4796-B869-FC82CAB3FB0F}" name=" " dataDxfId="566">
      <calculatedColumnFormula>VLOOKUP(Tabulka5912153293541[[#This Row],[Tým]],Tabulka59121532935[[Tým]:[Body]],2,FALSE)</calculatedColumnFormula>
    </tableColumn>
    <tableColumn id="5" xr3:uid="{3C81C798-AAF6-4240-85E6-E17092AE85B7}" name="Sloupec1" dataDxfId="565">
      <calculatedColumnFormula>Tabulka5912153293541[[#This Row],[Umístění]]</calculatedColumnFormula>
    </tableColumn>
  </tableColumns>
  <tableStyleInfo name="Styl tabulky 1 2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9CFBD00D-F8EF-4DFB-BE04-CEF8D2806D71}" name="Tabulka1710136303642" displayName="Tabulka1710136303642" ref="N3:V18" totalsRowShown="0" headerRowDxfId="564" dataDxfId="562" headerRowBorderDxfId="563">
  <autoFilter ref="N3:V18" xr:uid="{3B6B0F44-04D5-4BDE-9432-A266A6F818E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N4:V53">
    <sortCondition ref="O3:O53"/>
  </sortState>
  <tableColumns count="9">
    <tableColumn id="1" xr3:uid="{A584B41B-1974-46DB-9A13-74A610E9F468}" name="Start. Poz." dataDxfId="561"/>
    <tableColumn id="2" xr3:uid="{CBB37ECA-53DD-467A-A80B-96CAE8E470A7}" name="Umístění" dataDxfId="560">
      <calculatedColumnFormula>IF(Tabulka1710136303642[[#This Row],[ ]]="","",IF(Tabulka1710136303642[[#This Row],[ ]]="NEÚČAST","",IF(OR(Tabulka1710136303642[Výsledný čas]="N",Tabulka1710136303642[Výsledný čas]="D"),$X$4-$X$5,_xlfn.RANK.EQ(Tabulka1710136303642[[#This Row],[ ]],Tabulka1710136303642[[ ]],1))))</calculatedColumnFormula>
    </tableColumn>
    <tableColumn id="3" xr3:uid="{0E30D791-FF4B-4B51-A760-CC7C2948C5DF}" name="Tým" dataDxfId="559"/>
    <tableColumn id="4" xr3:uid="{87B78752-33EE-4EFC-8299-502A13090FF3}" name="LP" dataDxfId="558"/>
    <tableColumn id="5" xr3:uid="{A50E1B0E-C117-4D26-843C-750BF999ECF3}" name="PP" dataDxfId="557"/>
    <tableColumn id="6" xr3:uid="{79B02A11-E926-4BF2-9B6B-7AC41528CF37}" name="Výsledný čas" dataDxfId="556">
      <calculatedColumnFormula>IF(OR(Tabulka1710136303642[[#This Row],[LP]]="N",Tabulka1710136303642[[#This Row],[PP]]="N"),"N",IF(OR(Tabulka1710136303642[[#This Row],[LP]]="D",Tabulka1710136303642[[#This Row],[PP]]="D"),"D",IF(OR(Tabulka1710136303642[[#This Row],[LP]]="NEÚČAST",Tabulka1710136303642[[#This Row],[PP]]="NEÚČAST"),"NEÚČAST",IF(OR(Tabulka1710136303642[[#This Row],[LP]]="",Tabulka1710136303642[[#This Row],[PP]]=""),"",MAX(Tabulka1710136303642[[#This Row],[LP]:[PP]])))))</calculatedColumnFormula>
    </tableColumn>
    <tableColumn id="8" xr3:uid="{5FA66A7B-6202-4C1A-A7D7-489977D8B041}" name="Sloupec1" dataDxfId="555">
      <calculatedColumnFormula>COUNTIF(Tabulka1710136303642[[#This Row],[Tým]],"*")</calculatedColumnFormula>
    </tableColumn>
    <tableColumn id="9" xr3:uid="{EDF63164-3532-428D-BEB0-D55B294CBD31}" name="Sloupec2" dataDxfId="554">
      <calculatedColumnFormula>COUNTIF(Tabulka1710136303642[[#This Row],[Výsledný čas]],"NEÚČAST")</calculatedColumnFormula>
    </tableColumn>
    <tableColumn id="7" xr3:uid="{2873A2AD-5C20-4B07-BF15-D6B62791B44A}" name=" " dataDxfId="553">
      <calculatedColumnFormula>IF(Tabulka1710136303642[[#This Row],[Výsledný čas]]="N",998,IF(Tabulka1710136303642[[#This Row],[Výsledný čas]]="D",998,IF(Tabulka1710136303642[[#This Row],[Výsledný čas]]="","",Tabulka1710136303642[[#This Row],[Výsledný čas]])))</calculatedColumnFormula>
    </tableColumn>
  </tableColumns>
  <tableStyleInfo name="Styl tabulky 1 2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876F5DC9-D0FF-4F44-9BAC-6179C4DA6FFA}" name="Tabulka17101325313743" displayName="Tabulka17101325313743" ref="B3:J27" totalsRowShown="0" headerRowDxfId="552" dataDxfId="551">
  <autoFilter ref="B3:J27" xr:uid="{62D044D3-D427-4706-A77D-7F311383422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4:J53">
    <sortCondition ref="C3:C53"/>
  </sortState>
  <tableColumns count="9">
    <tableColumn id="1" xr3:uid="{364CBFB7-5D15-4DBC-8387-62CD1D47CB6A}" name="Start. Poz." dataDxfId="550"/>
    <tableColumn id="2" xr3:uid="{0ADBD457-3243-4479-8B2A-AAE850A67D5F}" name="Umístění" dataDxfId="549">
      <calculatedColumnFormula>IF(Tabulka17101325313743[[#This Row],[ ]]="","",IF(Tabulka17101325313743[[#This Row],[ ]]="NEÚČAST","",IF(OR(Tabulka17101325313743[Výsledný čas]="N",Tabulka17101325313743[Výsledný čas]="D"),$L$4-$L$5,_xlfn.RANK.EQ(Tabulka17101325313743[[#This Row],[ ]],Tabulka17101325313743[[ ]],1))))</calculatedColumnFormula>
    </tableColumn>
    <tableColumn id="3" xr3:uid="{0A1F5F23-4827-4959-978E-82FA6EB1F277}" name="Tým" dataDxfId="46"/>
    <tableColumn id="4" xr3:uid="{4786DE65-76EB-4456-80AD-B056741E0C55}" name="LP" dataDxfId="45"/>
    <tableColumn id="5" xr3:uid="{191D9EFE-AE94-48B4-9F28-401E34CBC67D}" name="PP" dataDxfId="30"/>
    <tableColumn id="6" xr3:uid="{09C14E5E-3C4B-4A69-BF56-C32633235B18}" name="Výsledný čas" dataDxfId="28">
      <calculatedColumnFormula>IF(OR(Tabulka17101325313743[[#This Row],[LP]]="N",Tabulka17101325313743[[#This Row],[PP]]="N"),"N",IF(OR(Tabulka17101325313743[[#This Row],[LP]]="D",Tabulka17101325313743[[#This Row],[PP]]="D"),"D",IF(OR(Tabulka17101325313743[[#This Row],[LP]]="NEÚČAST",Tabulka17101325313743[[#This Row],[PP]]="NEÚČAST"),"NEÚČAST",IF(OR(Tabulka17101325313743[[#This Row],[LP]]="",Tabulka17101325313743[[#This Row],[PP]]=""),"",MAX(Tabulka17101325313743[[#This Row],[LP]:[PP]])))))</calculatedColumnFormula>
    </tableColumn>
    <tableColumn id="8" xr3:uid="{F999559F-233C-4DA6-B79A-6FFB79B7A5FE}" name="Sloupec1" dataDxfId="29">
      <calculatedColumnFormula>COUNTIF(Tabulka17101325313743[[#This Row],[Tým]],"*")</calculatedColumnFormula>
    </tableColumn>
    <tableColumn id="9" xr3:uid="{F85BBC24-8BEC-4A04-9EB9-A0A94E946282}" name="Sloupec2" dataDxfId="548">
      <calculatedColumnFormula>COUNTIF(Tabulka17101325313743[[#This Row],[Výsledný čas]],"NEÚČAST")</calculatedColumnFormula>
    </tableColumn>
    <tableColumn id="7" xr3:uid="{AD2AE3DD-804B-4439-A89B-90940E3A4942}" name=" " dataDxfId="547">
      <calculatedColumnFormula>IF(Tabulka17101325313743[[#This Row],[Výsledný čas]]="N",998,IF(Tabulka17101325313743[[#This Row],[Výsledný čas]]="D",998,IF(Tabulka17101325313743[[#This Row],[Výsledný čas]]="","",Tabulka17101325313743[[#This Row],[Výsledný čas]])))</calculatedColumnFormula>
    </tableColumn>
  </tableColumns>
  <tableStyleInfo name="Styl tabulky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D751379-3676-4465-8A19-4BB4BB802145}" name="Tabulka6" displayName="Tabulka6" ref="M25:N35" totalsRowShown="0">
  <autoFilter ref="M25:N35" xr:uid="{4D751379-3676-4465-8A19-4BB4BB802145}"/>
  <tableColumns count="2">
    <tableColumn id="1" xr3:uid="{7A78AB6C-FACC-4175-95A2-A44CE51F5D82}" name="Sloupec1"/>
    <tableColumn id="2" xr3:uid="{1893B29C-2278-4291-A2FE-E560F4612400}" name="Sloupec2"/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4FA5688A-C4CC-41D2-BA5E-9F3924FC4DB5}" name="Tabulka38111426323844" displayName="Tabulka38111426323844" ref="Z3:AF22" totalsRowShown="0" headerRowDxfId="546" dataDxfId="545">
  <autoFilter ref="Z3:AF22" xr:uid="{083BB06C-1560-470E-A308-0377A133B66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xmlns:xlrd2="http://schemas.microsoft.com/office/spreadsheetml/2017/richdata2" ref="Z4:AF22">
    <sortCondition ref="Z4:Z22"/>
  </sortState>
  <tableColumns count="7">
    <tableColumn id="1" xr3:uid="{75F163BE-EEFD-483D-8DC2-53C8F57AB08C}" name="Umístění" dataDxfId="544">
      <calculatedColumnFormula>IF(OR(Tabulka38111426323844[Výsledný čas]="N",Tabulka38111426323844[Výsledný čas]="D",Tabulka38111426323844[Výsledný čas]="NEÚČAST"),Uvod!$E$4,_xlfn.RANK.EQ(Tabulka38111426323844[[#This Row],[ ]],Tabulka38111426323844[[ ]],1))</calculatedColumnFormula>
    </tableColumn>
    <tableColumn id="2" xr3:uid="{8E5B4309-D10A-4E57-81F1-DB807CE54CD6}" name="Tým" dataDxfId="40"/>
    <tableColumn id="3" xr3:uid="{90DABE89-07F5-4C04-9B80-87D32C53B0B8}" name="LP" dataDxfId="39">
      <calculatedColumnFormula>VLOOKUP(Tabulka38111426323844[[#This Row],[Tým]],Tabulka17101325313743[[Tým]:[ ]],2,FALSE)</calculatedColumnFormula>
    </tableColumn>
    <tableColumn id="4" xr3:uid="{17DC7A39-E4F9-47FA-9E84-815E8047CD4B}" name="PP" dataDxfId="38">
      <calculatedColumnFormula>VLOOKUP(Tabulka38111426323844[[#This Row],[Tým]],Tabulka17101325313743[[Tým]:[ ]],3,FALSE)</calculatedColumnFormula>
    </tableColumn>
    <tableColumn id="5" xr3:uid="{03F0FB68-667B-4493-93C1-A82E728C9D1E}" name="Výsledný čas" dataDxfId="36">
      <calculatedColumnFormula>VLOOKUP(Tabulka38111426323844[[#This Row],[Tým]],Tabulka17101325313743[[Tým]:[ ]],4,FALSE)</calculatedColumnFormula>
    </tableColumn>
    <tableColumn id="6" xr3:uid="{068CBB3E-60C0-477E-8FB0-15AA634FD48A}" name=" " dataDxfId="37">
      <calculatedColumnFormula>VLOOKUP(Tabulka38111426323844[[#This Row],[Tým]],Tabulka17101325313743[[Tým]:[ ]],7,FALSE)</calculatedColumnFormula>
    </tableColumn>
    <tableColumn id="9" xr3:uid="{E6BAACBF-37A2-44B5-B8DD-AC72C2BE9A8F}" name="Body" dataDxfId="543">
      <calculatedColumnFormula>IF(Tabulka38111426323844[[#This Row],[Výsledný čas]]="N",5,IF(Tabulka38111426323844[[#This Row],[Výsledný čas]]="D",0,IF(Tabulka38111426323844[[#This Row],[Výsledný čas]]="NEÚČAST",0,Tabulka4[[#Totals],[Týmy muži]]+6-Tabulka38111426323844[[#This Row],[Umístění]])))</calculatedColumnFormula>
    </tableColumn>
  </tableColumns>
  <tableStyleInfo name="Styl tabulky 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9E2B95EC-726F-4E65-BD51-31D35D45750D}" name="Tabulka59121527333945" displayName="Tabulka59121527333945" ref="AH3:AL22" totalsRowShown="0" headerRowDxfId="542" dataDxfId="541">
  <autoFilter ref="AH3:AL22" xr:uid="{0A08C00D-A582-4264-A100-7D00EC898DD5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H4:AL22">
    <sortCondition ref="AH4:AH22"/>
  </sortState>
  <tableColumns count="5">
    <tableColumn id="1" xr3:uid="{E0090617-CA5E-4CD3-AB56-D77C6935E71F}" name="Umístění" dataDxfId="540">
      <calculatedColumnFormula>_xlfn.RANK.EQ(Tabulka59121527333945[[#This Row],[Body]],Tabulka59121527333945[Body],0)</calculatedColumnFormula>
    </tableColumn>
    <tableColumn id="2" xr3:uid="{F91F667F-1107-4E8C-8ACD-736A16C2BAF4}" name="Tým" dataDxfId="539"/>
    <tableColumn id="3" xr3:uid="{D93AA0BB-8B29-4F6A-AF51-979DA8B6FBA9}" name="Body" dataDxfId="538">
      <calculatedColumnFormula>VLOOKUP(Tabulka59121527333945[[#This Row],[Tým]],Tabulka38111426323844[[Tým]:[Body]],6,FALSE)+Tabulka59121527333945[[#This Row],[ ]]</calculatedColumnFormula>
    </tableColumn>
    <tableColumn id="4" xr3:uid="{845641F3-B6B5-4538-96F4-C16F024E60B2}" name=" " dataDxfId="537">
      <calculatedColumnFormula>VLOOKUP(Tabulka59121527333945[[#This Row],[Tým]],Tabulka591215273339[[Tým]:[Body]],2,FALSE)</calculatedColumnFormula>
    </tableColumn>
    <tableColumn id="5" xr3:uid="{FFD2607A-C2AF-47BD-ACB8-21FBD49E365B}" name="Sloupec1" dataDxfId="536">
      <calculatedColumnFormula>Tabulka59121527333945[[#This Row],[Umístění]]</calculatedColumnFormula>
    </tableColumn>
  </tableColumns>
  <tableStyleInfo name="Styl tabulky 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B03C21E8-397B-47F5-8988-FB7FC53D2DF1}" name="Tabulka381114228344046" displayName="Tabulka381114228344046" ref="Z26:AF36" totalsRowShown="0" headerRowDxfId="535" dataDxfId="534">
  <autoFilter ref="Z26:AF36" xr:uid="{85A432A9-EAED-4601-841B-B8D71BCB493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xmlns:xlrd2="http://schemas.microsoft.com/office/spreadsheetml/2017/richdata2" ref="Z27:AF36">
    <sortCondition ref="Z27:Z36"/>
  </sortState>
  <tableColumns count="7">
    <tableColumn id="1" xr3:uid="{B778B38C-1309-453F-AE04-B3A24A7D8AEB}" name="Umístění" dataDxfId="533">
      <calculatedColumnFormula>IF(OR(Tabulka381114228344046[Výsledný čas]="N",Tabulka381114228344046[Výsledný čas]="D",Tabulka381114228344046[Výsledný čas]="NEÚČAST"),Uvod!$E$6,_xlfn.RANK.EQ(Tabulka381114228344046[[#This Row],[ ]],Tabulka381114228344046[[ ]],1))</calculatedColumnFormula>
    </tableColumn>
    <tableColumn id="2" xr3:uid="{ACF417AF-DDA1-448B-B196-A2607CE47220}" name="Tým" dataDxfId="35"/>
    <tableColumn id="3" xr3:uid="{2C69E500-D107-46F8-A943-1FAE0325474C}" name="LP" dataDxfId="34">
      <calculatedColumnFormula>VLOOKUP(Tabulka381114228344046[[#This Row],[Tým]],Tabulka171013630364248[[Tým]:[ ]],2,FALSE)</calculatedColumnFormula>
    </tableColumn>
    <tableColumn id="4" xr3:uid="{B1676E8C-C03E-49FF-8F74-5D1D2B65CF82}" name="PP" dataDxfId="33">
      <calculatedColumnFormula>VLOOKUP(Tabulka381114228344046[[#This Row],[Tým]],Tabulka171013630364248[[Tým]:[ ]],3,FALSE)</calculatedColumnFormula>
    </tableColumn>
    <tableColumn id="5" xr3:uid="{512B7A56-74C9-4A50-827B-7181B3906146}" name="Výsledný čas" dataDxfId="31">
      <calculatedColumnFormula>VLOOKUP(Tabulka381114228344046[[#This Row],[Tým]],Tabulka171013630364248[[Tým]:[ ]],4,FALSE)</calculatedColumnFormula>
    </tableColumn>
    <tableColumn id="6" xr3:uid="{BB75783D-A7CD-465D-B5CB-65F880B6366F}" name=" " dataDxfId="32">
      <calculatedColumnFormula>VLOOKUP(Tabulka381114228344046[[#This Row],[Tým]],Tabulka171013630364248[[Tým]:[ ]],7,FALSE)</calculatedColumnFormula>
    </tableColumn>
    <tableColumn id="9" xr3:uid="{9E98AF2C-20A2-46B1-8C5B-44616FCC9FEB}" name="Body" dataDxfId="532">
      <calculatedColumnFormula>IF(Tabulka381114228344046[[#This Row],[Výsledný čas]]="N",5,IF(Tabulka381114228344046[[#This Row],[Výsledný čas]]="D",0,IF(Tabulka381114228344046[[#This Row],[Výsledný čas]]="NEÚČAST",0,Tabulka8[[#Totals],[Týmy ženy]]+6-Tabulka381114228344046[[#This Row],[Umístění]])))</calculatedColumnFormula>
    </tableColumn>
  </tableColumns>
  <tableStyleInfo name="Styl tabulky 1 2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92C1ED0B-C3BA-482C-BFA3-9566D323383A}" name="Tabulka591215329354147" displayName="Tabulka591215329354147" ref="AH26:AL36" totalsRowShown="0" headerRowDxfId="531" dataDxfId="530">
  <autoFilter ref="AH26:AL36" xr:uid="{936496D5-1C85-47AE-BF72-87FD40DB1CAE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H27:AL36">
    <sortCondition ref="AH27:AH36"/>
  </sortState>
  <tableColumns count="5">
    <tableColumn id="1" xr3:uid="{29595839-CD39-4D25-A82F-6452133E2CDC}" name="Umístění" dataDxfId="529">
      <calculatedColumnFormula>_xlfn.RANK.EQ(Tabulka591215329354147[[#This Row],[Body]],Tabulka591215329354147[Body],0)</calculatedColumnFormula>
    </tableColumn>
    <tableColumn id="2" xr3:uid="{9D68C5AD-8BEB-4367-BFF5-F66CAD96D42B}" name="Tým" dataDxfId="528"/>
    <tableColumn id="3" xr3:uid="{2BCC2D17-566D-49AC-AEC1-C7E5ED617776}" name="Body" dataDxfId="527">
      <calculatedColumnFormula>VLOOKUP(Tabulka591215329354147[[#This Row],[Tým]],Tabulka381114228344046[[Tým]:[Body]],6,FALSE)+Tabulka591215329354147[[#This Row],[ ]]</calculatedColumnFormula>
    </tableColumn>
    <tableColumn id="4" xr3:uid="{63358F2B-D4C7-45F7-83CF-807C034D2490}" name=" " dataDxfId="526">
      <calculatedColumnFormula>VLOOKUP(Tabulka591215329354147[[#This Row],[Tým]],Tabulka5912153293541[[Tým]:[Body]],2,FALSE)</calculatedColumnFormula>
    </tableColumn>
    <tableColumn id="6" xr3:uid="{D661E750-71A3-4607-8F36-2CC8BEAE7BA8}" name="Sloupec1" dataDxfId="525">
      <calculatedColumnFormula>Tabulka591215329354147[[#This Row],[Umístění]]</calculatedColumnFormula>
    </tableColumn>
  </tableColumns>
  <tableStyleInfo name="Styl tabulky 1 2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D078077F-726B-4CE7-BF95-8EF640EEF8DE}" name="Tabulka171013630364248" displayName="Tabulka171013630364248" ref="N3:V15" totalsRowShown="0" headerRowDxfId="524" dataDxfId="523">
  <autoFilter ref="N3:V15" xr:uid="{3B6B0F44-04D5-4BDE-9432-A266A6F818E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N4:V53">
    <sortCondition ref="O3:O53"/>
  </sortState>
  <tableColumns count="9">
    <tableColumn id="1" xr3:uid="{163692FA-B5DD-44EE-87B4-81891EFB5E7F}" name="Start. Poz." dataDxfId="51"/>
    <tableColumn id="2" xr3:uid="{4D794FB2-A84A-4DCB-A7C0-E537D370D833}" name="Umístění" dataDxfId="50">
      <calculatedColumnFormula>IF(Tabulka171013630364248[[#This Row],[ ]]="","",IF(Tabulka171013630364248[[#This Row],[ ]]="NEÚČAST","",IF(OR(Tabulka171013630364248[Výsledný čas]="N",Tabulka171013630364248[Výsledný čas]="D"),$X$4-$X$5,_xlfn.RANK.EQ(Tabulka171013630364248[[#This Row],[ ]],Tabulka171013630364248[[ ]],1))))</calculatedColumnFormula>
    </tableColumn>
    <tableColumn id="3" xr3:uid="{21189A12-0147-44E8-A6B3-638673F9CC93}" name="Tým" dataDxfId="44"/>
    <tableColumn id="4" xr3:uid="{A1C43BF5-F1AC-4E54-BADA-56432C20CC26}" name="LP" dataDxfId="43"/>
    <tableColumn id="5" xr3:uid="{928567DE-3982-4F20-A08A-BCC45AC66696}" name="PP" dataDxfId="41"/>
    <tableColumn id="6" xr3:uid="{42CDDFC4-3B34-4818-97BE-3429BA488E4B}" name="Výsledný čas" dataDxfId="42">
      <calculatedColumnFormula>IF(OR(Tabulka171013630364248[[#This Row],[LP]]="N",Tabulka171013630364248[[#This Row],[PP]]="N"),"N",IF(OR(Tabulka171013630364248[[#This Row],[LP]]="D",Tabulka171013630364248[[#This Row],[PP]]="D"),"D",IF(OR(Tabulka171013630364248[[#This Row],[LP]]="NEÚČAST",Tabulka171013630364248[[#This Row],[PP]]="NEÚČAST"),"NEÚČAST",IF(OR(Tabulka171013630364248[[#This Row],[LP]]="",Tabulka171013630364248[[#This Row],[PP]]=""),"",MAX(Tabulka171013630364248[[#This Row],[LP]:[PP]])))))</calculatedColumnFormula>
    </tableColumn>
    <tableColumn id="8" xr3:uid="{60CB9E6E-804F-41A4-960B-5DC71006452D}" name="Sloupec1" dataDxfId="49">
      <calculatedColumnFormula>COUNTIF(Tabulka171013630364248[[#This Row],[Tým]],"*")</calculatedColumnFormula>
    </tableColumn>
    <tableColumn id="9" xr3:uid="{0C8BA8C7-D383-4B32-AFCE-09235552281C}" name="Sloupec2" dataDxfId="48">
      <calculatedColumnFormula>COUNTIF(Tabulka171013630364248[[#This Row],[Výsledný čas]],"NEÚČAST")</calculatedColumnFormula>
    </tableColumn>
    <tableColumn id="7" xr3:uid="{B05E67BB-21BF-4B32-9C0D-FCBDDCE08660}" name=" " dataDxfId="47">
      <calculatedColumnFormula>IF(Tabulka171013630364248[[#This Row],[Výsledný čas]]="N",998,IF(Tabulka171013630364248[[#This Row],[Výsledný čas]]="D",998,IF(Tabulka171013630364248[[#This Row],[Výsledný čas]]="","",Tabulka171013630364248[[#This Row],[Výsledný čas]])))</calculatedColumnFormula>
    </tableColumn>
  </tableColumns>
  <tableStyleInfo name="Styl tabulky 1 2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F3E7D97B-0F62-4A7B-97D0-2BE199AB30F4}" name="Tabulka1710132531374349" displayName="Tabulka1710132531374349" ref="B3:J29" totalsRowShown="0" headerRowDxfId="522" dataDxfId="521">
  <autoFilter ref="B3:J29" xr:uid="{62D044D3-D427-4706-A77D-7F311383422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4:J53">
    <sortCondition ref="C3:C53"/>
  </sortState>
  <tableColumns count="9">
    <tableColumn id="1" xr3:uid="{06682B58-D412-4FA0-9C2D-5ED27B67CC73}" name="Start. Poz." dataDxfId="16"/>
    <tableColumn id="2" xr3:uid="{D8D855A1-ECCB-4A79-B6D2-986DD41F4EB4}" name="Umístění" dataDxfId="15">
      <calculatedColumnFormula>IF(Tabulka1710132531374349[[#This Row],[ ]]="","",IF(Tabulka1710132531374349[[#This Row],[ ]]="NEÚČAST","",IF(OR(Tabulka1710132531374349[Výsledný čas]="N",Tabulka1710132531374349[Výsledný čas]="D"),$L$4-$L$5,_xlfn.RANK.EQ(Tabulka1710132531374349[[#This Row],[ ]],Tabulka1710132531374349[[ ]],1))))</calculatedColumnFormula>
    </tableColumn>
    <tableColumn id="3" xr3:uid="{5A9086DE-9F14-4368-A3B1-3795B7EB7182}" name="Tým" dataDxfId="14"/>
    <tableColumn id="4" xr3:uid="{68AA38EF-9723-435F-B7D5-FF714DEE5FCE}" name="LP" dataDxfId="13"/>
    <tableColumn id="5" xr3:uid="{DD630707-1897-4CDA-A8B4-5263A84A2C49}" name="PP" dataDxfId="12"/>
    <tableColumn id="6" xr3:uid="{12295B3F-81B0-4180-949C-0EF68B5EFFF9}" name="Výsledný čas" dataDxfId="11">
      <calculatedColumnFormula>IF(OR(Tabulka1710132531374349[[#This Row],[LP]]="N",Tabulka1710132531374349[[#This Row],[PP]]="N"),"N",IF(OR(Tabulka1710132531374349[[#This Row],[LP]]="D",Tabulka1710132531374349[[#This Row],[PP]]="D"),"D",IF(OR(Tabulka1710132531374349[[#This Row],[LP]]="NEÚČAST",Tabulka1710132531374349[[#This Row],[PP]]="NEÚČAST"),"NEÚČAST",IF(OR(Tabulka1710132531374349[[#This Row],[LP]]="",Tabulka1710132531374349[[#This Row],[PP]]=""),"",MAX(Tabulka1710132531374349[[#This Row],[LP]:[PP]])))))</calculatedColumnFormula>
    </tableColumn>
    <tableColumn id="9" xr3:uid="{C8CFF70B-3775-4C44-BFBE-0E007D396CE8}" name="Sloupec2" dataDxfId="10">
      <calculatedColumnFormula>COUNTIF(Tabulka1710132531374349[[#This Row],[Tým]],"*")</calculatedColumnFormula>
    </tableColumn>
    <tableColumn id="8" xr3:uid="{6744C9A1-E2D9-4D62-A51D-9D36959B8FA4}" name="Sloupec1" dataDxfId="9">
      <calculatedColumnFormula>COUNTIF(Tabulka1710132531374349[[#This Row],[Výsledný čas]],"NEÚČAST")</calculatedColumnFormula>
    </tableColumn>
    <tableColumn id="7" xr3:uid="{07B5E614-A197-4F54-9B2E-13CA558322C4}" name=" " dataDxfId="8">
      <calculatedColumnFormula>IF(Tabulka1710132531374349[[#This Row],[Výsledný čas]]="N",998,IF(Tabulka1710132531374349[[#This Row],[Výsledný čas]]="D",998,IF(Tabulka1710132531374349[[#This Row],[Výsledný čas]]="","",Tabulka1710132531374349[[#This Row],[Výsledný čas]])))</calculatedColumnFormula>
    </tableColumn>
  </tableColumns>
  <tableStyleInfo name="Styl tabulky 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241F1058-5BB3-4A4A-9AFF-A4BA08EFD2DC}" name="Tabulka3811142632384450" displayName="Tabulka3811142632384450" ref="Z3:AF22" totalsRowShown="0" headerRowDxfId="520" dataDxfId="519">
  <autoFilter ref="Z3:AF22" xr:uid="{083BB06C-1560-470E-A308-0377A133B66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xmlns:xlrd2="http://schemas.microsoft.com/office/spreadsheetml/2017/richdata2" ref="Z4:AF22">
    <sortCondition ref="Z4:Z22"/>
  </sortState>
  <tableColumns count="7">
    <tableColumn id="1" xr3:uid="{77E0338C-A63F-404B-BB64-1D3A323DD451}" name="Umístění" dataDxfId="518">
      <calculatedColumnFormula>IF(OR(Tabulka3811142632384450[Výsledný čas]="N",Tabulka3811142632384450[Výsledný čas]="D",Tabulka3811142632384450[Výsledný čas]="NEÚČAST"),Uvod!$E$4,_xlfn.RANK.EQ(Tabulka3811142632384450[[#This Row],[ ]],Tabulka3811142632384450[[ ]],1))</calculatedColumnFormula>
    </tableColumn>
    <tableColumn id="2" xr3:uid="{F281C891-A4B9-4BE1-A342-4D0ADB0185BC}" name="Tým" dataDxfId="517"/>
    <tableColumn id="3" xr3:uid="{7A4812FD-B049-4A51-A73C-1FD0E3B96499}" name="LP" dataDxfId="516">
      <calculatedColumnFormula>VLOOKUP(Tabulka3811142632384450[[#This Row],[Tým]],Tabulka1710132531374349[[Tým]:[ ]],2,FALSE)</calculatedColumnFormula>
    </tableColumn>
    <tableColumn id="4" xr3:uid="{283BD966-DFFB-4997-9427-8E3E4A7BA2A9}" name="PP" dataDxfId="515">
      <calculatedColumnFormula>VLOOKUP(Tabulka3811142632384450[[#This Row],[Tým]],Tabulka1710132531374349[[Tým]:[ ]],3,FALSE)</calculatedColumnFormula>
    </tableColumn>
    <tableColumn id="5" xr3:uid="{827A0BB4-F7F8-4D03-9D6A-733E62957819}" name="Výsledný čas" dataDxfId="514">
      <calculatedColumnFormula>VLOOKUP(Tabulka3811142632384450[[#This Row],[Tým]],Tabulka1710132531374349[[Tým]:[ ]],4,FALSE)</calculatedColumnFormula>
    </tableColumn>
    <tableColumn id="6" xr3:uid="{B867C8EE-05BA-4B83-B39C-84AA95F56251}" name=" " dataDxfId="513">
      <calculatedColumnFormula>VLOOKUP(Tabulka3811142632384450[[#This Row],[Tým]],Tabulka1710132531374349[[Tým]:[ ]],7,FALSE)</calculatedColumnFormula>
    </tableColumn>
    <tableColumn id="9" xr3:uid="{B2FFC893-5F54-434E-995F-DFAFB55E8C46}" name="Body" dataDxfId="512">
      <calculatedColumnFormula>IF(Tabulka3811142632384450[[#This Row],[Výsledný čas]]="N",5,IF(Tabulka3811142632384450[[#This Row],[Výsledný čas]]="D",0,IF(Tabulka3811142632384450[[#This Row],[Výsledný čas]]="NEÚČAST",0,Tabulka4[[#Totals],[Týmy muži]]+6-Tabulka3811142632384450[[#This Row],[Umístění]])))</calculatedColumnFormula>
    </tableColumn>
  </tableColumns>
  <tableStyleInfo name="Styl tabulky 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3CA1C8A7-897B-4B19-B930-911E1DE97BC7}" name="Tabulka5912152733394551" displayName="Tabulka5912152733394551" ref="AH3:AL22" totalsRowShown="0" headerRowDxfId="511" dataDxfId="510">
  <autoFilter ref="AH3:AL22" xr:uid="{0A08C00D-A582-4264-A100-7D00EC898DD5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H4:AL22">
    <sortCondition descending="1" ref="AJ4:AJ22"/>
  </sortState>
  <tableColumns count="5">
    <tableColumn id="1" xr3:uid="{EB4F7F2D-1947-49A9-9564-F1C50983DFE2}" name="Umístění" dataDxfId="509">
      <calculatedColumnFormula>_xlfn.RANK.EQ(Tabulka5912152733394551[[#This Row],[Body]],Tabulka5912152733394551[Body],0)</calculatedColumnFormula>
    </tableColumn>
    <tableColumn id="2" xr3:uid="{E7BB927E-5726-4DDC-819C-697200FAB4D6}" name="Tým" dataDxfId="508"/>
    <tableColumn id="3" xr3:uid="{4F804575-0465-4D5C-8606-05DFAC9F844B}" name="Body" dataDxfId="507">
      <calculatedColumnFormula>VLOOKUP(Tabulka5912152733394551[[#This Row],[Tým]],Tabulka3811142632384450[[Tým]:[Body]],6,FALSE)+Tabulka5912152733394551[[#This Row],[ ]]</calculatedColumnFormula>
    </tableColumn>
    <tableColumn id="4" xr3:uid="{781073E0-7C47-4DD8-8500-AB04F2323AE9}" name=" " dataDxfId="506">
      <calculatedColumnFormula>VLOOKUP(Tabulka5912152733394551[[#This Row],[Tým]],Tabulka59121527333945[[Tým]:[Body]],2,FALSE)</calculatedColumnFormula>
    </tableColumn>
    <tableColumn id="5" xr3:uid="{EA52389E-FA36-4105-8FF7-D64DF7C99BD7}" name="Sloupec1" dataDxfId="505">
      <calculatedColumnFormula>Tabulka5912152733394551[[#This Row],[Umístění]]</calculatedColumnFormula>
    </tableColumn>
  </tableColumns>
  <tableStyleInfo name="Styl tabulky 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C8391A31-5F57-4B64-BC0B-4C49FF6CA82C}" name="Tabulka38111422834404652" displayName="Tabulka38111422834404652" ref="Z26:AF36" totalsRowShown="0" headerRowDxfId="504" dataDxfId="503">
  <autoFilter ref="Z26:AF36" xr:uid="{85A432A9-EAED-4601-841B-B8D71BCB493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xmlns:xlrd2="http://schemas.microsoft.com/office/spreadsheetml/2017/richdata2" ref="Z27:AF36">
    <sortCondition ref="Z27:Z36"/>
  </sortState>
  <tableColumns count="7">
    <tableColumn id="1" xr3:uid="{3FA2351B-D04B-4902-B2E9-9E8694BBC8CC}" name="Umístění" dataDxfId="502">
      <calculatedColumnFormula>IF(Tabulka38111422834404652[[#This Row],[ ]]="NEÚČAST","",IF(OR(Tabulka38111422834404652[Výsledný čas]="N",Tabulka38111422834404652[Výsledný čas]="D"),Uvod!$E$6,_xlfn.RANK.EQ(Tabulka38111422834404652[[#This Row],[ ]],Tabulka38111422834404652[[ ]],1)))</calculatedColumnFormula>
    </tableColumn>
    <tableColumn id="2" xr3:uid="{5F325AC2-48F2-4A66-A74F-DC8CBC937848}" name="Tým" dataDxfId="501"/>
    <tableColumn id="3" xr3:uid="{E99D567F-D4FB-4D2B-AEB2-E99285D2EC55}" name="LP" dataDxfId="500">
      <calculatedColumnFormula>VLOOKUP(Tabulka38111422834404652[[#This Row],[Tým]],Tabulka17101363036424854[[Tým]:[ ]],2,FALSE)</calculatedColumnFormula>
    </tableColumn>
    <tableColumn id="4" xr3:uid="{D0A223C5-2DAE-4CA3-96C3-181743FE3E1F}" name="PP" dataDxfId="499">
      <calculatedColumnFormula>VLOOKUP(Tabulka38111422834404652[[#This Row],[Tým]],Tabulka17101363036424854[[Tým]:[ ]],3,FALSE)</calculatedColumnFormula>
    </tableColumn>
    <tableColumn id="5" xr3:uid="{ED68B7F7-A168-481A-8C7B-0FF96CBD327A}" name="Výsledný čas" dataDxfId="498">
      <calculatedColumnFormula>VLOOKUP(Tabulka38111422834404652[[#This Row],[Tým]],Tabulka17101363036424854[[Tým]:[ ]],4,FALSE)</calculatedColumnFormula>
    </tableColumn>
    <tableColumn id="6" xr3:uid="{16BBE8A1-1C74-4409-9A66-4568F3ADF0AE}" name=" " dataDxfId="497">
      <calculatedColumnFormula>VLOOKUP(Tabulka38111422834404652[[#This Row],[Tým]],Tabulka17101363036424854[[Tým]:[ ]],7,FALSE)</calculatedColumnFormula>
    </tableColumn>
    <tableColumn id="9" xr3:uid="{1CADE9EF-1C30-46B7-AED5-27BD65485123}" name="Body" dataDxfId="496">
      <calculatedColumnFormula>IF(Tabulka38111422834404652[[#This Row],[Výsledný čas]]="N",5,IF(Tabulka38111422834404652[[#This Row],[Výsledný čas]]="D",0,IF(Tabulka38111422834404652[[#This Row],[Výsledný čas]]="NEÚČAST",0,Tabulka8[[#Totals],[Týmy ženy]]+6-Tabulka38111422834404652[[#This Row],[Umístění]])))</calculatedColumnFormula>
    </tableColumn>
  </tableColumns>
  <tableStyleInfo name="Styl tabulky 1 2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D3253EC4-0944-44EE-9D1C-BAA2AC2123F3}" name="Tabulka59121532935414753" displayName="Tabulka59121532935414753" ref="AH26:AL36" totalsRowShown="0" headerRowDxfId="495" dataDxfId="494">
  <autoFilter ref="AH26:AL36" xr:uid="{936496D5-1C85-47AE-BF72-87FD40DB1CAE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H27:AL36">
    <sortCondition descending="1" ref="AJ27:AJ36"/>
  </sortState>
  <tableColumns count="5">
    <tableColumn id="1" xr3:uid="{55D5540E-795D-4919-A48F-BAF7B85DF43C}" name="Umístění" dataDxfId="493">
      <calculatedColumnFormula>_xlfn.RANK.EQ(Tabulka59121532935414753[[#This Row],[Body]],Tabulka59121532935414753[Body],0)</calculatedColumnFormula>
    </tableColumn>
    <tableColumn id="2" xr3:uid="{08BD53AB-AC42-4D07-BC72-2AC12969CEE4}" name="Tým" dataDxfId="492"/>
    <tableColumn id="3" xr3:uid="{7EAAF138-B4AE-448B-BF01-DC335ED0AD38}" name="Body" dataDxfId="491">
      <calculatedColumnFormula>VLOOKUP(Tabulka59121532935414753[[#This Row],[Tým]],Tabulka38111422834404652[[Tým]:[Body]],6,FALSE)+Tabulka59121532935414753[[#This Row],[ ]]</calculatedColumnFormula>
    </tableColumn>
    <tableColumn id="4" xr3:uid="{AB71223C-5635-461D-83C8-AA8A58C3D8BD}" name=" " dataDxfId="490">
      <calculatedColumnFormula>VLOOKUP(Tabulka59121532935414753[[#This Row],[Tým]],Tabulka591215329354147[[Tým]:[Body]],2,FALSE)</calculatedColumnFormula>
    </tableColumn>
    <tableColumn id="5" xr3:uid="{7889CD43-9876-41B9-AB4E-8053EA10B2D1}" name="Sloupec1" dataDxfId="489">
      <calculatedColumnFormula>Tabulka59121532935414753[[#This Row],[Umístění]]</calculatedColumnFormula>
    </tableColumn>
  </tableColumns>
  <tableStyleInfo name="Styl tabulky 1 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366E96D3-3EA6-4096-8F8F-0324BF1E1CD4}" name="Tabulka9" displayName="Tabulka9" ref="B5:Q24" totalsRowShown="0" headerRowDxfId="895" dataDxfId="894">
  <autoFilter ref="B5:Q24" xr:uid="{366E96D3-3EA6-4096-8F8F-0324BF1E1CD4}"/>
  <tableColumns count="16">
    <tableColumn id="1" xr3:uid="{E5A9190A-7FEA-4DB4-B1CC-5ED13D8276A3}" name="Sloupec1" dataDxfId="893"/>
    <tableColumn id="2" xr3:uid="{5EB43748-B9FF-46A4-A958-C938B98AC75A}" name="Sloupec2" dataDxfId="892">
      <calculatedColumnFormula>VLOOKUP(Tabulka9[[#This Row],[Sloupec1]],Tabulka59121521[[Tým]:[Sloupec1]],2,FALSE)</calculatedColumnFormula>
    </tableColumn>
    <tableColumn id="3" xr3:uid="{122B408B-D781-406D-A001-CE2F1B9F5544}" name="Sloupec3" dataDxfId="891">
      <calculatedColumnFormula>VLOOKUP(Tabulka9[[#This Row],[Sloupec1]],Tabulka591215[[Tým]:[Sloupec1]],4,FALSE)</calculatedColumnFormula>
    </tableColumn>
    <tableColumn id="4" xr3:uid="{AAFFDA6C-C34A-4EC0-9846-104F2D5BE117}" name="Sloupec4" dataDxfId="890">
      <calculatedColumnFormula>VLOOKUP(Tabulka9[[#This Row],[Sloupec1]],Tabulka59121527[[Tým]:[Sloupec1]],4,FALSE)</calculatedColumnFormula>
    </tableColumn>
    <tableColumn id="5" xr3:uid="{80DCB86E-DBC8-4401-A3BF-AB436F30DE66}" name="Sloupec5" dataDxfId="889">
      <calculatedColumnFormula>VLOOKUP(Tabulka9[[#This Row],[Sloupec1]],Tabulka5912152733[[Tým]:[Sloupec1]],4,FALSE)</calculatedColumnFormula>
    </tableColumn>
    <tableColumn id="6" xr3:uid="{A8A3E0EA-35DD-461A-925A-62B293CCB8DF}" name="Sloupec6" dataDxfId="4">
      <calculatedColumnFormula>VLOOKUP(Tabulka9[[#This Row],[Sloupec1]],Tabulka591215273339[[Tým]:[Sloupec1]],4,FALSE)</calculatedColumnFormula>
    </tableColumn>
    <tableColumn id="7" xr3:uid="{6B77C422-9793-47EE-93E9-286EFDE83C39}" name="Sloupec7" dataDxfId="3">
      <calculatedColumnFormula>VLOOKUP(Tabulka9[[#This Row],[Sloupec1]],Tabulka59121527333945[[Tým]:[Sloupec1]],4,FALSE)</calculatedColumnFormula>
    </tableColumn>
    <tableColumn id="8" xr3:uid="{FE4DF62D-B82D-4998-9971-0BC6BAC88D82}" name="Sloupec8" dataDxfId="1">
      <calculatedColumnFormula>VLOOKUP(Tabulka9[[#This Row],[Sloupec1]],Tabulka5912152733394551[[Tým]:[Sloupec1]],4,FALSE)</calculatedColumnFormula>
    </tableColumn>
    <tableColumn id="9" xr3:uid="{4F9708DC-DBE2-417A-92BF-DB019EDA838C}" name="Sloupec9" dataDxfId="2">
      <calculatedColumnFormula>VLOOKUP(Tabulka9[[#This Row],[Sloupec1]],Tabulka591215273339455157[[Tým]:[Sloupec1]],4,FALSE)</calculatedColumnFormula>
    </tableColumn>
    <tableColumn id="10" xr3:uid="{3BDBF5CC-E8A8-4411-96FB-B87E615FEEBB}" name="Sloupec10" dataDxfId="888">
      <calculatedColumnFormula>VLOOKUP(Tabulka9[[#This Row],[Sloupec1]],Tabulka59121527333945515763[[Tým]:[Sloupec1]],4,FALSE)</calculatedColumnFormula>
    </tableColumn>
    <tableColumn id="11" xr3:uid="{9E6A45B1-D3D5-4E4F-8CA6-50AE2037EB25}" name="Sloupec11" dataDxfId="887">
      <calculatedColumnFormula>VLOOKUP(Tabulka9[[#This Row],[Sloupec1]],Tabulka5912152733394551576369[[Tým]:[Sloupec1]],4,FALSE)</calculatedColumnFormula>
    </tableColumn>
    <tableColumn id="12" xr3:uid="{1469F96E-DA41-4B3F-8BBB-C97003698758}" name="Sloupec12" dataDxfId="886">
      <calculatedColumnFormula>VLOOKUP(Tabulka9[[#This Row],[Sloupec1]],Tabulka591215273339455157636975[[Tým]:[Sloupec1]],4,FALSE)</calculatedColumnFormula>
    </tableColumn>
    <tableColumn id="13" xr3:uid="{D661EA25-47F3-4A04-89D4-5A58C19E19A6}" name="Sloupec13" dataDxfId="885">
      <calculatedColumnFormula>VLOOKUP(Tabulka9[[#This Row],[Sloupec1]],Tabulka59121527333945515763697581[[Tým]:[Sloupec1]],4,FALSE)</calculatedColumnFormula>
    </tableColumn>
    <tableColumn id="14" xr3:uid="{6838A814-C837-4997-BB2D-F45C24B5F2D7}" name="Sloupec14" dataDxfId="884">
      <calculatedColumnFormula>VLOOKUP(Tabulka9[[#This Row],[Sloupec1]],Tabulka5912152733394551576369758187[[Tým]:[Sloupec1]],4,FALSE)</calculatedColumnFormula>
    </tableColumn>
    <tableColumn id="15" xr3:uid="{A8F6F7A3-DD7B-43A0-9AE2-0FD59F85E95B}" name="Sloupec15" dataDxfId="883">
      <calculatedColumnFormula>VLOOKUP(Tabulka9[[#This Row],[Sloupec1]],Tabulka591215273339455157636975818793[[Tým]:[Sloupec1]],4,FALSE)</calculatedColumnFormula>
    </tableColumn>
    <tableColumn id="16" xr3:uid="{C6A9AB76-8A81-4623-8639-A8BE32EDE992}" name="Sloupec16" dataDxfId="882">
      <calculatedColumnFormula>VLOOKUP(Tabulka9[[#This Row],[Sloupec1]],Tabulka59121527333945515763697581879399[[Tým]:[ ]],4,FALSE)</calculatedColumnFormula>
    </tableColumn>
  </tableColumns>
  <tableStyleInfo name="Styl tabulky 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13709334-0070-401E-A1B7-AB9EF04AB35A}" name="Tabulka17101363036424854" displayName="Tabulka17101363036424854" ref="N3:V15" totalsRowShown="0" headerRowDxfId="488" dataDxfId="487">
  <autoFilter ref="N3:V15" xr:uid="{3B6B0F44-04D5-4BDE-9432-A266A6F818E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N4:V53">
    <sortCondition ref="O3:O53"/>
  </sortState>
  <tableColumns count="9">
    <tableColumn id="1" xr3:uid="{31AE6A82-A970-47B3-8E89-421894AB6D73}" name="Start. Poz." dataDxfId="27"/>
    <tableColumn id="2" xr3:uid="{04914681-FF48-4346-B2FC-FB42901DE4DD}" name="Umístění" dataDxfId="26">
      <calculatedColumnFormula>IF(Tabulka17101363036424854[[#This Row],[ ]]="","",IF(Tabulka17101363036424854[[#This Row],[ ]]="NEÚČAST","",IF(OR(Tabulka17101363036424854[Výsledný čas]="N",Tabulka17101363036424854[Výsledný čas]="D"),$X$4-$X$5,_xlfn.RANK.EQ(Tabulka17101363036424854[[#This Row],[ ]],Tabulka17101363036424854[[ ]],1))))</calculatedColumnFormula>
    </tableColumn>
    <tableColumn id="3" xr3:uid="{5F2A8A1F-73CC-4436-B192-572711386797}" name="Tým" dataDxfId="25"/>
    <tableColumn id="4" xr3:uid="{4AFC2BB2-9FD4-49C2-9807-E8CEF819EE20}" name="LP" dataDxfId="24"/>
    <tableColumn id="5" xr3:uid="{051EE01A-8FD5-4C7E-A303-774DD0FD0EEC}" name="PP" dataDxfId="23"/>
    <tableColumn id="6" xr3:uid="{66692C07-35F4-4B4B-AB42-99F09A9809B2}" name="Výsledný čas" dataDxfId="22">
      <calculatedColumnFormula>IF(OR(Tabulka17101363036424854[[#This Row],[LP]]="N",Tabulka17101363036424854[[#This Row],[PP]]="N"),"N",IF(OR(Tabulka17101363036424854[[#This Row],[LP]]="D",Tabulka17101363036424854[[#This Row],[PP]]="D"),"D",IF(OR(Tabulka17101363036424854[[#This Row],[LP]]="NEÚČAST",Tabulka17101363036424854[[#This Row],[PP]]="NEÚČAST"),"NEÚČAST",IF(OR(Tabulka17101363036424854[[#This Row],[LP]]="",Tabulka17101363036424854[[#This Row],[PP]]=""),"",MAX(Tabulka17101363036424854[[#This Row],[LP]:[PP]])))))</calculatedColumnFormula>
    </tableColumn>
    <tableColumn id="8" xr3:uid="{E5DDECB6-A570-42CA-898A-9050AE6E25EF}" name="Sloupec1" dataDxfId="486">
      <calculatedColumnFormula>COUNTIF(Tabulka17101363036424854[[#This Row],[Tým]],"*")</calculatedColumnFormula>
    </tableColumn>
    <tableColumn id="9" xr3:uid="{52D8BCB7-3B71-4362-ABF8-93A5A4324A3D}" name="Sloupec2" dataDxfId="485">
      <calculatedColumnFormula>COUNTIF(Tabulka17101363036424854[[#This Row],[Výsledný čas]],"NEÚČAST")</calculatedColumnFormula>
    </tableColumn>
    <tableColumn id="7" xr3:uid="{C45BDC2C-2304-4B9F-B25D-F2087B5067E2}" name=" " dataDxfId="484">
      <calculatedColumnFormula>IF(Tabulka17101363036424854[[#This Row],[Výsledný čas]]="N",998,IF(Tabulka17101363036424854[[#This Row],[Výsledný čas]]="D",998,IF(Tabulka17101363036424854[[#This Row],[Výsledný čas]]="","",Tabulka17101363036424854[[#This Row],[Výsledný čas]])))</calculatedColumnFormula>
    </tableColumn>
  </tableColumns>
  <tableStyleInfo name="Styl tabulky 1 2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943745C0-55A1-4D8C-9312-8DAB9E706075}" name="Tabulka171013253137434955" displayName="Tabulka171013253137434955" ref="B3:J23" totalsRowShown="0" headerRowDxfId="483" dataDxfId="482">
  <autoFilter ref="B3:J23" xr:uid="{62D044D3-D427-4706-A77D-7F311383422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4:J53">
    <sortCondition ref="C3:C53"/>
  </sortState>
  <tableColumns count="9">
    <tableColumn id="1" xr3:uid="{8A5C54D3-E9A2-4DEC-9D24-50BF61ADB78B}" name="Start. Poz." dataDxfId="481"/>
    <tableColumn id="2" xr3:uid="{0343DB3A-0FA4-4DC3-9699-933C4F6C847E}" name="Umístění" dataDxfId="480">
      <calculatedColumnFormula>IF(Tabulka171013253137434955[[#This Row],[ ]]="","",IF(Tabulka171013253137434955[[#This Row],[ ]]="NEÚČAST","",IF(OR(Tabulka171013253137434955[Výsledný čas]="N",Tabulka171013253137434955[Výsledný čas]="D"),$L$4-$L$5,_xlfn.RANK.EQ(Tabulka171013253137434955[[#This Row],[ ]],Tabulka171013253137434955[[ ]],1))))</calculatedColumnFormula>
    </tableColumn>
    <tableColumn id="3" xr3:uid="{FC4D5649-B9D0-442D-91F7-A7991C35D219}" name="Tým" dataDxfId="479"/>
    <tableColumn id="4" xr3:uid="{4A7AA28F-9A29-4997-9CF8-721CD07214BC}" name="LP" dataDxfId="478"/>
    <tableColumn id="5" xr3:uid="{80D9A17A-3560-4A8D-A15D-5CFCB37A2BD9}" name="PP" dataDxfId="477"/>
    <tableColumn id="6" xr3:uid="{5531ABCA-B5E7-41A1-954A-1D9BB8042F71}" name="Výsledný čas" dataDxfId="476">
      <calculatedColumnFormula>IF(OR(Tabulka171013253137434955[[#This Row],[LP]]="N",Tabulka171013253137434955[[#This Row],[PP]]="N"),"N",IF(OR(Tabulka171013253137434955[[#This Row],[LP]]="D",Tabulka171013253137434955[[#This Row],[PP]]="D"),"D",IF(OR(Tabulka171013253137434955[[#This Row],[LP]]="NEÚČAST",Tabulka171013253137434955[[#This Row],[PP]]="NEÚČAST"),"NEÚČAST",IF(OR(Tabulka171013253137434955[[#This Row],[LP]]="",Tabulka171013253137434955[[#This Row],[PP]]=""),"",MAX(Tabulka171013253137434955[[#This Row],[LP]:[PP]])))))</calculatedColumnFormula>
    </tableColumn>
    <tableColumn id="9" xr3:uid="{61E5AFA2-DD63-45E0-8173-B181E0A02EE4}" name="Sloupec2" dataDxfId="475">
      <calculatedColumnFormula>COUNTIF(Tabulka171013253137434955[[#This Row],[Tým]],"*")</calculatedColumnFormula>
    </tableColumn>
    <tableColumn id="8" xr3:uid="{396820C5-52E5-4516-881F-E749575EBD53}" name="Sloupec1" dataDxfId="474">
      <calculatedColumnFormula>COUNTIF(Tabulka171013253137434955[[#This Row],[Výsledný čas]],"NEÚČAST")</calculatedColumnFormula>
    </tableColumn>
    <tableColumn id="7" xr3:uid="{70C81C1A-59B9-429E-A574-C399AB902094}" name=" " dataDxfId="473">
      <calculatedColumnFormula>IF(Tabulka171013253137434955[[#This Row],[Výsledný čas]]="N",998,IF(Tabulka171013253137434955[[#This Row],[Výsledný čas]]="D",998,IF(Tabulka171013253137434955[[#This Row],[Výsledný čas]]="","",Tabulka171013253137434955[[#This Row],[Výsledný čas]])))</calculatedColumnFormula>
    </tableColumn>
  </tableColumns>
  <tableStyleInfo name="Styl tabulky 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F902C562-B320-4E7E-826D-ECD1AB521AFA}" name="Tabulka381114263238445056" displayName="Tabulka381114263238445056" ref="Z3:AF22" totalsRowShown="0" headerRowDxfId="472" dataDxfId="471">
  <autoFilter ref="Z3:AF22" xr:uid="{083BB06C-1560-470E-A308-0377A133B66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xmlns:xlrd2="http://schemas.microsoft.com/office/spreadsheetml/2017/richdata2" ref="Z4:AF20">
    <sortCondition ref="Z3:Z20"/>
  </sortState>
  <tableColumns count="7">
    <tableColumn id="1" xr3:uid="{EC64CCA5-5462-4D71-8B65-95066558C419}" name="Umístění" dataDxfId="470">
      <calculatedColumnFormula>IF(OR(Tabulka381114263238445056[Výsledný čas]="N",Tabulka381114263238445056[Výsledný čas]="D",Tabulka381114263238445056[Výsledný čas]="NEÚČAST"),Uvod!$E$4,_xlfn.RANK.EQ(Tabulka381114263238445056[[#This Row],[ ]],Tabulka381114263238445056[[ ]],1))</calculatedColumnFormula>
    </tableColumn>
    <tableColumn id="2" xr3:uid="{E9DF106E-C623-40D4-A630-6032AB0F659D}" name="Tým" dataDxfId="469"/>
    <tableColumn id="3" xr3:uid="{5422512C-23DF-45A6-9FCC-615C938D6029}" name="LP" dataDxfId="468">
      <calculatedColumnFormula>VLOOKUP(Tabulka381114263238445056[[#This Row],[Tým]],Tabulka171013253137434955[[Tým]:[ ]],2,FALSE)</calculatedColumnFormula>
    </tableColumn>
    <tableColumn id="4" xr3:uid="{DA7F6967-22A0-427E-B3FE-3A1B47DFF8C2}" name="PP" dataDxfId="467">
      <calculatedColumnFormula>VLOOKUP(Tabulka381114263238445056[[#This Row],[Tým]],Tabulka171013253137434955[[Tým]:[ ]],3,FALSE)</calculatedColumnFormula>
    </tableColumn>
    <tableColumn id="5" xr3:uid="{667CB2A8-1965-4B19-AB03-19CD3B0F3228}" name="Výsledný čas" dataDxfId="466">
      <calculatedColumnFormula>VLOOKUP(Tabulka381114263238445056[[#This Row],[Tým]],Tabulka171013253137434955[[Tým]:[ ]],4,FALSE)</calculatedColumnFormula>
    </tableColumn>
    <tableColumn id="6" xr3:uid="{B06BA7D5-A7CE-497C-9CF9-8F6D44AF6F64}" name=" " dataDxfId="465">
      <calculatedColumnFormula>VLOOKUP(Tabulka381114263238445056[[#This Row],[Tým]],Tabulka171013253137434955[[Tým]:[ ]],7,FALSE)</calculatedColumnFormula>
    </tableColumn>
    <tableColumn id="9" xr3:uid="{8603A802-80FB-4D5A-A3D2-6F2E5A3A604A}" name="Body" dataDxfId="464">
      <calculatedColumnFormula>IF(Tabulka381114263238445056[[#This Row],[Výsledný čas]]="N",5,IF(Tabulka381114263238445056[[#This Row],[Výsledný čas]]="D",0,IF(Tabulka381114263238445056[[#This Row],[Výsledný čas]]="NEÚČAST",0,Tabulka4[[#Totals],[Týmy muži]]+6-Tabulka381114263238445056[[#This Row],[Umístění]])))</calculatedColumnFormula>
    </tableColumn>
  </tableColumns>
  <tableStyleInfo name="Styl tabulky 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CFD9ADA4-8B63-4C57-9EF9-E4FDFE5D4E0F}" name="Tabulka591215273339455157" displayName="Tabulka591215273339455157" ref="AH3:AL22" totalsRowShown="0" headerRowDxfId="463" dataDxfId="462">
  <autoFilter ref="AH3:AL22" xr:uid="{0A08C00D-A582-4264-A100-7D00EC898DD5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H4:AK20">
    <sortCondition ref="AH3:AH20"/>
  </sortState>
  <tableColumns count="5">
    <tableColumn id="1" xr3:uid="{EF560611-6987-4736-8A98-51E0313030F7}" name="Umístění" dataDxfId="461">
      <calculatedColumnFormula>_xlfn.RANK.EQ(Tabulka591215273339455157[[#This Row],[Body]],Tabulka591215273339455157[Body],0)</calculatedColumnFormula>
    </tableColumn>
    <tableColumn id="2" xr3:uid="{7D681E34-B39C-4E01-A457-07090C0D83E1}" name="Tým" dataDxfId="460"/>
    <tableColumn id="3" xr3:uid="{5FFA1347-E7A5-40F0-B2A1-89063BEBFF5B}" name="Body" dataDxfId="459">
      <calculatedColumnFormula>VLOOKUP(Tabulka591215273339455157[[#This Row],[Tým]],Tabulka381114263238445056[[Tým]:[Body]],6,FALSE)+Tabulka591215273339455157[[#This Row],[ ]]</calculatedColumnFormula>
    </tableColumn>
    <tableColumn id="4" xr3:uid="{B1959DA2-A74B-4472-ADB6-578ACD5DD75A}" name=" " dataDxfId="458">
      <calculatedColumnFormula>VLOOKUP(Tabulka591215273339455157[[#This Row],[Tým]],Tabulka5912152733394551[[Tým]:[Body]],2,FALSE)</calculatedColumnFormula>
    </tableColumn>
    <tableColumn id="5" xr3:uid="{3A8A2875-B4E3-4878-8D59-8B04B7DD24FC}" name="Sloupec1" dataDxfId="457">
      <calculatedColumnFormula>Tabulka591215273339455157[[#This Row],[Umístění]]</calculatedColumnFormula>
    </tableColumn>
  </tableColumns>
  <tableStyleInfo name="Styl tabulky 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EA073F10-55FF-4648-9D80-63E87A734A0C}" name="Tabulka3811142283440465258" displayName="Tabulka3811142283440465258" ref="Z26:AF36" totalsRowShown="0" headerRowDxfId="456" dataDxfId="455">
  <autoFilter ref="Z26:AF36" xr:uid="{85A432A9-EAED-4601-841B-B8D71BCB493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xmlns:xlrd2="http://schemas.microsoft.com/office/spreadsheetml/2017/richdata2" ref="Z27:AF43">
    <sortCondition ref="Z3:Z20"/>
  </sortState>
  <tableColumns count="7">
    <tableColumn id="1" xr3:uid="{3DB19C50-1B58-4DCB-B82C-4AFE414EC74E}" name="Umístění" dataDxfId="454">
      <calculatedColumnFormula>IF(OR(Tabulka3811142283440465258[Výsledný čas]="N",Tabulka3811142283440465258[Výsledný čas]="D",Tabulka3811142283440465258[Výsledný čas]="NEÚČAST"),Uvod!$E$6,_xlfn.RANK.EQ(Tabulka3811142283440465258[[#This Row],[ ]],Tabulka3811142283440465258[[ ]],1))</calculatedColumnFormula>
    </tableColumn>
    <tableColumn id="2" xr3:uid="{9E0D863E-3B96-4E31-9D17-37E2D6BD2A65}" name="Tým" dataDxfId="453"/>
    <tableColumn id="3" xr3:uid="{2063D3DA-DC0E-4043-8DC0-A6FED4592AF6}" name="LP" dataDxfId="452">
      <calculatedColumnFormula>VLOOKUP(Tabulka3811142283440465258[[#This Row],[Tým]],Tabulka1710136303642485460[[Tým]:[ ]],2,FALSE)</calculatedColumnFormula>
    </tableColumn>
    <tableColumn id="4" xr3:uid="{6648B792-8D1D-4E16-958A-8639FF2A6D72}" name="PP" dataDxfId="451">
      <calculatedColumnFormula>VLOOKUP(Tabulka3811142283440465258[[#This Row],[Tým]],Tabulka1710136303642485460[[Tým]:[ ]],3,FALSE)</calculatedColumnFormula>
    </tableColumn>
    <tableColumn id="5" xr3:uid="{530E4B1E-F9BE-4301-AB1D-4AD3EF365C83}" name="Výsledný čas" dataDxfId="450">
      <calculatedColumnFormula>VLOOKUP(Tabulka3811142283440465258[[#This Row],[Tým]],Tabulka1710136303642485460[[Tým]:[ ]],4,FALSE)</calculatedColumnFormula>
    </tableColumn>
    <tableColumn id="6" xr3:uid="{364DD93D-8666-4D6D-9B76-704478250FDE}" name=" " dataDxfId="449">
      <calculatedColumnFormula>VLOOKUP(Tabulka3811142283440465258[[#This Row],[Tým]],Tabulka1710136303642485460[[Tým]:[ ]],7,FALSE)</calculatedColumnFormula>
    </tableColumn>
    <tableColumn id="9" xr3:uid="{CC85DB26-37A1-45F0-85E6-FDC8D820ABAA}" name="Body" dataDxfId="448">
      <calculatedColumnFormula>IF(Tabulka3811142283440465258[[#This Row],[Výsledný čas]]="N",5,IF(Tabulka3811142283440465258[[#This Row],[Výsledný čas]]="D",0,IF(Tabulka3811142283440465258[[#This Row],[Výsledný čas]]="NEÚČAST",0,Tabulka8[[#Totals],[Týmy ženy]]+6-Tabulka3811142283440465258[[#This Row],[Umístění]])))</calculatedColumnFormula>
    </tableColumn>
  </tableColumns>
  <tableStyleInfo name="Styl tabulky 1 2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91C1844-59BF-4DE3-9938-E0F4D03E69DB}" name="Tabulka5912153293541475359" displayName="Tabulka5912153293541475359" ref="AH26:AL36" totalsRowShown="0" headerRowDxfId="447" dataDxfId="446">
  <autoFilter ref="AH26:AL36" xr:uid="{936496D5-1C85-47AE-BF72-87FD40DB1CAE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H27:AK43">
    <sortCondition ref="AH3:AH20"/>
  </sortState>
  <tableColumns count="5">
    <tableColumn id="1" xr3:uid="{CC872722-C752-4221-ACDE-448B53E197C8}" name="Umístění" dataDxfId="445">
      <calculatedColumnFormula>_xlfn.RANK.EQ(Tabulka5912153293541475359[[#This Row],[Body]],Tabulka5912153293541475359[Body],0)</calculatedColumnFormula>
    </tableColumn>
    <tableColumn id="2" xr3:uid="{45F17645-082E-4682-9037-BC3640F2E374}" name="Tým" dataDxfId="444"/>
    <tableColumn id="3" xr3:uid="{52363FCC-9F24-4A10-BEBF-96018CEFE4BE}" name="Body" dataDxfId="443">
      <calculatedColumnFormula>VLOOKUP(Tabulka5912153293541475359[[#This Row],[Tým]],Tabulka3811142283440465258[[Tým]:[Body]],6,FALSE)+Tabulka5912153293541475359[[#This Row],[ ]]</calculatedColumnFormula>
    </tableColumn>
    <tableColumn id="4" xr3:uid="{341A5D29-315D-4660-97AC-211684A31298}" name=" " dataDxfId="442">
      <calculatedColumnFormula>VLOOKUP(Tabulka5912153293541475359[[#This Row],[Tým]],Tabulka59121532935414753[[Tým]:[Body]],2,FALSE)</calculatedColumnFormula>
    </tableColumn>
    <tableColumn id="5" xr3:uid="{68A63618-2D34-446A-A9BD-CC7AB7AED8E2}" name="Sloupec1" dataDxfId="441">
      <calculatedColumnFormula>Tabulka5912153293541475359[[#This Row],[Umístění]]</calculatedColumnFormula>
    </tableColumn>
  </tableColumns>
  <tableStyleInfo name="Styl tabulky 1 2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AC13AED8-CB44-4A27-928F-E0DF37A0828C}" name="Tabulka1710136303642485460" displayName="Tabulka1710136303642485460" ref="N3:V12" totalsRowShown="0" headerRowDxfId="440" dataDxfId="439">
  <autoFilter ref="N3:V12" xr:uid="{3B6B0F44-04D5-4BDE-9432-A266A6F818E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N4:V53">
    <sortCondition ref="O3:O53"/>
  </sortState>
  <tableColumns count="9">
    <tableColumn id="1" xr3:uid="{9DB7BA7F-FEEE-41C6-8F65-8871BDFA7F32}" name="Start. Poz." dataDxfId="438"/>
    <tableColumn id="2" xr3:uid="{E5390A73-491F-416E-A93B-EB676F96C2FD}" name="Umístění" dataDxfId="437">
      <calculatedColumnFormula>IF(Tabulka1710136303642485460[[#This Row],[ ]]="","",IF(Tabulka1710136303642485460[[#This Row],[ ]]="NEÚČAST","",IF(OR(Tabulka1710136303642485460[Výsledný čas]="N",Tabulka1710136303642485460[Výsledný čas]="D"),$X$4-$X$5,_xlfn.RANK.EQ(Tabulka1710136303642485460[[#This Row],[ ]],Tabulka1710136303642485460[[ ]],1))))</calculatedColumnFormula>
    </tableColumn>
    <tableColumn id="3" xr3:uid="{7E06D511-F1E1-4A35-9000-D60D1E0AD8BF}" name="Tým" dataDxfId="436"/>
    <tableColumn id="4" xr3:uid="{5A08B77A-0211-42EB-802D-B0666EA318B2}" name="LP" dataDxfId="435"/>
    <tableColumn id="5" xr3:uid="{0C9C38A3-EC77-47D8-BF45-65B9C4FEB2EF}" name="PP" dataDxfId="434"/>
    <tableColumn id="6" xr3:uid="{A06061A4-5092-48E1-8BE6-315650FA1EBC}" name="Výsledný čas" dataDxfId="433">
      <calculatedColumnFormula>IF(OR(Tabulka1710136303642485460[[#This Row],[LP]]="N",Tabulka1710136303642485460[[#This Row],[PP]]="N"),"N",IF(OR(Tabulka1710136303642485460[[#This Row],[LP]]="D",Tabulka1710136303642485460[[#This Row],[PP]]="D"),"D",IF(OR(Tabulka1710136303642485460[[#This Row],[LP]]="NEÚČAST",Tabulka1710136303642485460[[#This Row],[PP]]="NEÚČAST"),"NEÚČAST",IF(OR(Tabulka1710136303642485460[[#This Row],[LP]]="",Tabulka1710136303642485460[[#This Row],[PP]]=""),"",MAX(Tabulka1710136303642485460[[#This Row],[LP]:[PP]])))))</calculatedColumnFormula>
    </tableColumn>
    <tableColumn id="8" xr3:uid="{6B84962C-C729-4271-A4C2-66F1AB5C93AF}" name="Sloupec1" dataDxfId="432">
      <calculatedColumnFormula>COUNTIF(Tabulka1710136303642485460[[#This Row],[Tým]],"*")</calculatedColumnFormula>
    </tableColumn>
    <tableColumn id="9" xr3:uid="{8E63C067-9948-4FF8-8AC5-7CBCB840B1AF}" name="Sloupec2" dataDxfId="431">
      <calculatedColumnFormula>COUNTIF(Tabulka1710136303642485460[[#This Row],[Výsledný čas]],"NEÚČAST")</calculatedColumnFormula>
    </tableColumn>
    <tableColumn id="7" xr3:uid="{DC918388-7725-47A9-9A62-65D4649AEE55}" name=" " dataDxfId="430">
      <calculatedColumnFormula>IF(Tabulka1710136303642485460[[#This Row],[Výsledný čas]]="N",998,IF(Tabulka1710136303642485460[[#This Row],[Výsledný čas]]="D",998,IF(Tabulka1710136303642485460[[#This Row],[Výsledný čas]]="","",Tabulka1710136303642485460[[#This Row],[Výsledný čas]])))</calculatedColumnFormula>
    </tableColumn>
  </tableColumns>
  <tableStyleInfo name="Styl tabulky 1 2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9B87ACD7-C615-4CC5-8D8A-34E1E0A7C81D}" name="Tabulka17101325313743495561" displayName="Tabulka17101325313743495561" ref="B3:J25" totalsRowShown="0" headerRowDxfId="429" dataDxfId="428">
  <autoFilter ref="B3:J25" xr:uid="{62D044D3-D427-4706-A77D-7F311383422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4:J53">
    <sortCondition ref="C3:C53"/>
  </sortState>
  <tableColumns count="9">
    <tableColumn id="1" xr3:uid="{1DB6E7A4-1CF3-4F46-ADCF-FA6A0B0A950D}" name="Start. Poz." dataDxfId="427"/>
    <tableColumn id="2" xr3:uid="{29818802-788D-4235-9AF7-AD1B12B735FF}" name="Umístění" dataDxfId="426">
      <calculatedColumnFormula>IF(Tabulka17101325313743495561[[#This Row],[ ]]="","",IF(Tabulka17101325313743495561[[#This Row],[ ]]="NEÚČAST","",IF(OR(Tabulka17101325313743495561[Výsledný čas]="N",Tabulka17101325313743495561[Výsledný čas]="D"),$L$4-$L$5,_xlfn.RANK.EQ(Tabulka17101325313743495561[[#This Row],[ ]],Tabulka17101325313743495561[[ ]],1))))</calculatedColumnFormula>
    </tableColumn>
    <tableColumn id="3" xr3:uid="{333624AA-DCF1-428F-B994-D19817BFAA40}" name="Tým" dataDxfId="425"/>
    <tableColumn id="4" xr3:uid="{153FFA84-9E89-4BC3-A2D6-C0A67D6CF119}" name="LP" dataDxfId="424"/>
    <tableColumn id="5" xr3:uid="{6176BD33-CEE1-4EA2-9FD9-02DF28674908}" name="PP" dataDxfId="423"/>
    <tableColumn id="6" xr3:uid="{74B7F5F7-97C8-4287-AC6C-16101D1DF8C3}" name="Výsledný čas" dataDxfId="422">
      <calculatedColumnFormula>IF(OR(Tabulka17101325313743495561[[#This Row],[LP]]="N",Tabulka17101325313743495561[[#This Row],[PP]]="N"),"N",IF(OR(Tabulka17101325313743495561[[#This Row],[LP]]="D",Tabulka17101325313743495561[[#This Row],[PP]]="D"),"D",IF(OR(Tabulka17101325313743495561[[#This Row],[LP]]="NEÚČAST",Tabulka17101325313743495561[[#This Row],[PP]]="NEÚČAST"),"NEÚČAST",IF(OR(Tabulka17101325313743495561[[#This Row],[LP]]="",Tabulka17101325313743495561[[#This Row],[PP]]=""),"",MAX(Tabulka17101325313743495561[[#This Row],[LP]:[PP]])))))</calculatedColumnFormula>
    </tableColumn>
    <tableColumn id="9" xr3:uid="{FBD85903-6098-423B-A227-AC790337461D}" name="Sloupec2" dataDxfId="421">
      <calculatedColumnFormula>COUNTIF(Tabulka17101325313743495561[[#This Row],[Tým]],"*")</calculatedColumnFormula>
    </tableColumn>
    <tableColumn id="8" xr3:uid="{60FF8162-7427-4AC3-BE1D-98BA2864DCA5}" name="Sloupec1" dataDxfId="420">
      <calculatedColumnFormula>COUNTIF(Tabulka17101325313743495561[[#This Row],[Výsledný čas]],"NEÚČAST")</calculatedColumnFormula>
    </tableColumn>
    <tableColumn id="7" xr3:uid="{8A54DC5C-DC00-41B0-B72A-337B9B966696}" name=" " dataDxfId="419">
      <calculatedColumnFormula>IF(Tabulka17101325313743495561[[#This Row],[Výsledný čas]]="N",998,IF(Tabulka17101325313743495561[[#This Row],[Výsledný čas]]="D",998,IF(Tabulka17101325313743495561[[#This Row],[Výsledný čas]]="","",Tabulka17101325313743495561[[#This Row],[Výsledný čas]])))</calculatedColumnFormula>
    </tableColumn>
  </tableColumns>
  <tableStyleInfo name="Styl tabulky 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BB6D413D-EB39-481E-8AF5-A2906C64E51D}" name="Tabulka38111426323844505662" displayName="Tabulka38111426323844505662" ref="Z3:AF22" totalsRowShown="0" headerRowDxfId="418" dataDxfId="417">
  <autoFilter ref="Z3:AF22" xr:uid="{083BB06C-1560-470E-A308-0377A133B66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xmlns:xlrd2="http://schemas.microsoft.com/office/spreadsheetml/2017/richdata2" ref="Z4:AF20">
    <sortCondition ref="Z3:Z20"/>
  </sortState>
  <tableColumns count="7">
    <tableColumn id="1" xr3:uid="{C5A11089-F0D4-455E-8E08-AD00294DFEC1}" name="Umístění" dataDxfId="416">
      <calculatedColumnFormula>IF(OR(Tabulka38111426323844505662[Výsledný čas]="N",Tabulka38111426323844505662[Výsledný čas]="D",Tabulka38111426323844505662[Výsledný čas]="NEÚČAST"),Uvod!$E$4,_xlfn.RANK.EQ(Tabulka38111426323844505662[[#This Row],[ ]],Tabulka38111426323844505662[[ ]],1))</calculatedColumnFormula>
    </tableColumn>
    <tableColumn id="2" xr3:uid="{4D7EAFC2-7096-4E50-B316-323AAD201FB7}" name="Tým" dataDxfId="415"/>
    <tableColumn id="3" xr3:uid="{A5281235-E2B2-42E2-9BB0-7281C734D2E1}" name="LP" dataDxfId="414">
      <calculatedColumnFormula>VLOOKUP(Tabulka38111426323844505662[[#This Row],[Tým]],Tabulka17101325313743495561[[Tým]:[ ]],2,FALSE)</calculatedColumnFormula>
    </tableColumn>
    <tableColumn id="4" xr3:uid="{7CEFD4DE-12B3-48A6-B8B7-9A7319C6C338}" name="PP" dataDxfId="413">
      <calculatedColumnFormula>VLOOKUP(Tabulka38111426323844505662[[#This Row],[Tým]],Tabulka17101325313743495561[[Tým]:[ ]],3,FALSE)</calculatedColumnFormula>
    </tableColumn>
    <tableColumn id="5" xr3:uid="{725F5C23-5A5A-49AE-8CD9-02BB5E307AB7}" name="Výsledný čas" dataDxfId="412">
      <calculatedColumnFormula>VLOOKUP(Tabulka38111426323844505662[[#This Row],[Tým]],Tabulka17101325313743495561[[Tým]:[ ]],4,FALSE)</calculatedColumnFormula>
    </tableColumn>
    <tableColumn id="6" xr3:uid="{A03447DB-DDD7-4B38-BFDE-3E7213AFD8BA}" name=" " dataDxfId="411">
      <calculatedColumnFormula>VLOOKUP(Tabulka38111426323844505662[[#This Row],[Tým]],Tabulka17101325313743495561[[Tým]:[ ]],7,FALSE)</calculatedColumnFormula>
    </tableColumn>
    <tableColumn id="9" xr3:uid="{C6BB7103-BB7B-45C0-B6F8-0CF4B0EC3AF7}" name="Body" dataDxfId="410">
      <calculatedColumnFormula>IF(Tabulka38111426323844505662[[#This Row],[Výsledný čas]]="N",5,IF(Tabulka38111426323844505662[[#This Row],[Výsledný čas]]="D",0,IF(Tabulka38111426323844505662[[#This Row],[Výsledný čas]]="NEÚČAST",0,Tabulka4[[#Totals],[Týmy muži]]+6-Tabulka38111426323844505662[[#This Row],[Umístění]])))</calculatedColumnFormula>
    </tableColumn>
  </tableColumns>
  <tableStyleInfo name="Styl tabulky 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5B45A4DD-FB51-4321-A7C1-4964FAB78005}" name="Tabulka59121527333945515763" displayName="Tabulka59121527333945515763" ref="AH3:AL22" totalsRowShown="0" headerRowDxfId="409" dataDxfId="408">
  <autoFilter ref="AH3:AL22" xr:uid="{0A08C00D-A582-4264-A100-7D00EC898DD5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H4:AK20">
    <sortCondition ref="AH3:AH20"/>
  </sortState>
  <tableColumns count="5">
    <tableColumn id="1" xr3:uid="{79AFF0A8-05C4-4FCD-9408-79875A56FFD2}" name="Umístění" dataDxfId="407">
      <calculatedColumnFormula>_xlfn.RANK.EQ(Tabulka59121527333945515763[[#This Row],[Body]],Tabulka59121527333945515763[Body],0)</calculatedColumnFormula>
    </tableColumn>
    <tableColumn id="2" xr3:uid="{B9099CF5-B13C-4B5D-882C-7D976346AF5A}" name="Tým" dataDxfId="406"/>
    <tableColumn id="3" xr3:uid="{DEDE1A37-B6A5-4DAB-984A-359AC7592145}" name="Body" dataDxfId="405">
      <calculatedColumnFormula>VLOOKUP(Tabulka59121527333945515763[[#This Row],[Tým]],Tabulka38111426323844505662[[Tým]:[Body]],6,FALSE)+Tabulka59121527333945515763[[#This Row],[ ]]</calculatedColumnFormula>
    </tableColumn>
    <tableColumn id="4" xr3:uid="{37EEB523-30E9-4F27-9F6A-797B8B7A2FAF}" name=" " dataDxfId="404">
      <calculatedColumnFormula>VLOOKUP(Tabulka59121527333945515763[[#This Row],[Tým]],Tabulka591215273339455157[[Tým]:[Body]],2,FALSE)</calculatedColumnFormula>
    </tableColumn>
    <tableColumn id="5" xr3:uid="{1BCF540D-1DE9-4AD2-8749-ED260DB22A62}" name="Sloupec1" dataDxfId="403">
      <calculatedColumnFormula>Tabulka59121527333945515763[[#This Row],[Umístění]]</calculatedColumnFormula>
    </tableColumn>
  </tableColumns>
  <tableStyleInfo name="Styl tabulky 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526D6A6-1691-4EA9-8EDA-D55CA03B3EB7}" name="Tabulka10" displayName="Tabulka10" ref="B31:Q41" totalsRowShown="0" headerRowDxfId="881" dataDxfId="880">
  <autoFilter ref="B31:Q41" xr:uid="{0526D6A6-1691-4EA9-8EDA-D55CA03B3EB7}"/>
  <tableColumns count="16">
    <tableColumn id="1" xr3:uid="{FD27BA88-8E50-48DD-BF98-05B047D6FA95}" name="Sloupec1" dataDxfId="879"/>
    <tableColumn id="2" xr3:uid="{23B2A9E0-B923-479B-823E-5E0852B91D2D}" name="Sloupec2" dataDxfId="878">
      <calculatedColumnFormula>VLOOKUP(Tabulka10[[#This Row],[Sloupec1]],Tabulka591215323[[Tým]:[Body]],2,FALSE)</calculatedColumnFormula>
    </tableColumn>
    <tableColumn id="3" xr3:uid="{96E93E4C-8414-4316-B64D-0F58218CAAB4}" name="Sloupec3" dataDxfId="877">
      <calculatedColumnFormula>VLOOKUP(Tabulka10[[#This Row],[Sloupec1]],Tabulka5912153[[Tým]:[Sloupec1]],4,FALSE)</calculatedColumnFormula>
    </tableColumn>
    <tableColumn id="4" xr3:uid="{AAE4552C-74BE-4BC4-8B75-8B2AFA2F198D}" name="Sloupec4" dataDxfId="876">
      <calculatedColumnFormula>VLOOKUP(Tabulka10[[#This Row],[Sloupec1]],Tabulka591215329[[Tým]:[Sloupec1]],4,FALSE)</calculatedColumnFormula>
    </tableColumn>
    <tableColumn id="5" xr3:uid="{19FE7C56-D4A8-48A6-A4AF-240D55FF5501}" name="Sloupec5" dataDxfId="875">
      <calculatedColumnFormula>VLOOKUP(Tabulka10[[#This Row],[Sloupec1]],Tabulka59121532935[[Tým]:[Sloupec1]],4,FALSE)</calculatedColumnFormula>
    </tableColumn>
    <tableColumn id="6" xr3:uid="{41F51C39-AF4A-4829-ACC2-AA698547C016}" name="Sloupec6" dataDxfId="7">
      <calculatedColumnFormula>VLOOKUP(Tabulka10[[#This Row],[Sloupec1]],Tabulka5912153293541[[Tým]:[Sloupec1]],4,FALSE)</calculatedColumnFormula>
    </tableColumn>
    <tableColumn id="7" xr3:uid="{F1830974-E805-42DC-9F10-0396288C9F31}" name="Sloupec7" dataDxfId="6">
      <calculatedColumnFormula>VLOOKUP(Tabulka10[[#This Row],[Sloupec1]],Tabulka59121532935414753[[Tým]:[Sloupec1]],4,FALSE)</calculatedColumnFormula>
    </tableColumn>
    <tableColumn id="8" xr3:uid="{AD3BFFAE-B906-4F03-B826-C237F509EDBC}" name="Sloupec8" dataDxfId="0">
      <calculatedColumnFormula>VLOOKUP(Tabulka10[[#This Row],[Sloupec1]],Tabulka59121532935414753[[Tým]:[Sloupec1]],4,FALSE)</calculatedColumnFormula>
    </tableColumn>
    <tableColumn id="9" xr3:uid="{A5D3BEB7-2DE2-4249-A355-114A61B93F9F}" name="Sloupec9" dataDxfId="5">
      <calculatedColumnFormula>VLOOKUP(Tabulka10[[#This Row],[Sloupec1]],Tabulka5912153293541475359[[Tým]:[Sloupec1]],4,FALSE)</calculatedColumnFormula>
    </tableColumn>
    <tableColumn id="10" xr3:uid="{625BE8A8-2ACB-49F7-AF58-87F6C9DED6BB}" name="Sloupec10" dataDxfId="874">
      <calculatedColumnFormula>VLOOKUP(Tabulka10[[#This Row],[Sloupec1]],Tabulka591215329354147535965[[Tým]:[Sloupec1]],4,FALSE)</calculatedColumnFormula>
    </tableColumn>
    <tableColumn id="11" xr3:uid="{310FAD67-D292-48C9-A409-75461943F7A0}" name="Sloupec11" dataDxfId="873">
      <calculatedColumnFormula>VLOOKUP(Tabulka10[[#This Row],[Sloupec1]],Tabulka59121532935414753596571[[Tým]:[Sloupec1]],4,FALSE)</calculatedColumnFormula>
    </tableColumn>
    <tableColumn id="12" xr3:uid="{10F79F8C-00E0-4D01-A004-74B97D67B32B}" name="Sloupec12" dataDxfId="872">
      <calculatedColumnFormula>VLOOKUP(Tabulka10[[#This Row],[Sloupec1]],Tabulka5912153293541475359657177[[Tým]:[Sloupec1]],4,FALSE)</calculatedColumnFormula>
    </tableColumn>
    <tableColumn id="13" xr3:uid="{3A8007B6-E703-4E66-890A-39194BA88169}" name="Sloupec13" dataDxfId="871">
      <calculatedColumnFormula>VLOOKUP(Tabulka10[[#This Row],[Sloupec1]],Tabulka591215329354147535965717783[[Tým]:[Sloupec1]],4,FALSE)</calculatedColumnFormula>
    </tableColumn>
    <tableColumn id="14" xr3:uid="{F8E597EC-8F2D-46CD-99FB-9ADE71AC85B4}" name="Sloupec14" dataDxfId="870">
      <calculatedColumnFormula>VLOOKUP(Tabulka10[[#This Row],[Sloupec1]],Tabulka59121532935414753596571778389[[Tým]:[Sloupec1]],4,FALSE)</calculatedColumnFormula>
    </tableColumn>
    <tableColumn id="15" xr3:uid="{52667F09-3FB2-45A8-9DCC-6A179BC1BB64}" name="Sloupec15" dataDxfId="869">
      <calculatedColumnFormula>VLOOKUP(Tabulka10[[#This Row],[Sloupec1]],Tabulka5912153293541475359657177838995101[[Tým]:[ ]],4,FALSE)</calculatedColumnFormula>
    </tableColumn>
    <tableColumn id="16" xr3:uid="{58CA48E9-E65F-4720-BCB9-FB56F3F1E08E}" name="Sloupec16" dataDxfId="868">
      <calculatedColumnFormula>VLOOKUP(Tabulka10[[#This Row],[Sloupec1]],Tabulka5912153293541475359657177838995101[[Tým]:[ ]],4,FALSE)</calculatedColumnFormula>
    </tableColumn>
  </tableColumns>
  <tableStyleInfo name="Styl tabulky 1 2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2DE69B30-EE9D-4764-8828-22DA29EA99EE}" name="Tabulka381114228344046525864" displayName="Tabulka381114228344046525864" ref="Z26:AF36" totalsRowShown="0" headerRowDxfId="402" dataDxfId="401">
  <autoFilter ref="Z26:AF36" xr:uid="{85A432A9-EAED-4601-841B-B8D71BCB493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xmlns:xlrd2="http://schemas.microsoft.com/office/spreadsheetml/2017/richdata2" ref="Z27:AF43">
    <sortCondition ref="Z3:Z20"/>
  </sortState>
  <tableColumns count="7">
    <tableColumn id="1" xr3:uid="{EC7529BA-CC44-435C-B595-EA6D63F1F914}" name="Umístění" dataDxfId="400">
      <calculatedColumnFormula>IF(OR(Tabulka381114228344046525864[Výsledný čas]="N",Tabulka381114228344046525864[Výsledný čas]="D",Tabulka381114228344046525864[Výsledný čas]="NEÚČAST"),Uvod!$E$6,_xlfn.RANK.EQ(Tabulka381114228344046525864[[#This Row],[ ]],Tabulka381114228344046525864[[ ]],1))</calculatedColumnFormula>
    </tableColumn>
    <tableColumn id="2" xr3:uid="{EE723372-E9A5-4C2D-9980-C39D81601013}" name="Tým" dataDxfId="399"/>
    <tableColumn id="3" xr3:uid="{0CE678C6-8687-415E-8EE9-BB6C0748AFFB}" name="LP" dataDxfId="398">
      <calculatedColumnFormula>VLOOKUP(Tabulka381114228344046525864[[#This Row],[Tým]],Tabulka171013630364248546066[[Tým]:[ ]],2,FALSE)</calculatedColumnFormula>
    </tableColumn>
    <tableColumn id="4" xr3:uid="{B13056F4-315C-4DBA-877D-778006F4E38A}" name="PP" dataDxfId="397">
      <calculatedColumnFormula>VLOOKUP(Tabulka381114228344046525864[[#This Row],[Tým]],Tabulka171013630364248546066[[Tým]:[ ]],3,FALSE)</calculatedColumnFormula>
    </tableColumn>
    <tableColumn id="5" xr3:uid="{7AA115FF-725F-4DF3-81D7-6B601BFA520C}" name="Výsledný čas" dataDxfId="396">
      <calculatedColumnFormula>VLOOKUP(Tabulka381114228344046525864[[#This Row],[Tým]],Tabulka171013630364248546066[[Tým]:[ ]],4,FALSE)</calculatedColumnFormula>
    </tableColumn>
    <tableColumn id="6" xr3:uid="{0AB01B10-1D1B-406B-9721-F431BE145F25}" name=" " dataDxfId="395">
      <calculatedColumnFormula>VLOOKUP(Tabulka381114228344046525864[[#This Row],[Tým]],Tabulka171013630364248546066[[Tým]:[ ]],7,FALSE)</calculatedColumnFormula>
    </tableColumn>
    <tableColumn id="9" xr3:uid="{D14B7C8E-50D8-4D48-BBFC-1EC953DCC4E5}" name="Body" dataDxfId="394">
      <calculatedColumnFormula>IF(Tabulka381114228344046525864[[#This Row],[Výsledný čas]]="N",5,IF(Tabulka381114228344046525864[[#This Row],[Výsledný čas]]="D",0,IF(Tabulka381114228344046525864[[#This Row],[Výsledný čas]]="NEÚČAST",0,Tabulka8[[#Totals],[Týmy ženy]]+6-Tabulka381114228344046525864[[#This Row],[Umístění]])))</calculatedColumnFormula>
    </tableColumn>
  </tableColumns>
  <tableStyleInfo name="Styl tabulky 1 2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970C4FAA-73B7-4210-BDCD-51168FB27E1C}" name="Tabulka591215329354147535965" displayName="Tabulka591215329354147535965" ref="AH26:AL36" totalsRowShown="0" headerRowDxfId="393" dataDxfId="392">
  <autoFilter ref="AH26:AL36" xr:uid="{936496D5-1C85-47AE-BF72-87FD40DB1CAE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H27:AK43">
    <sortCondition ref="AH3:AH20"/>
  </sortState>
  <tableColumns count="5">
    <tableColumn id="1" xr3:uid="{8AEDA812-519D-44E4-94EE-C58455E4A8E7}" name="Umístění" dataDxfId="391">
      <calculatedColumnFormula>_xlfn.RANK.EQ(Tabulka591215329354147535965[[#This Row],[Body]],Tabulka591215329354147535965[Body],0)</calculatedColumnFormula>
    </tableColumn>
    <tableColumn id="2" xr3:uid="{39D4C5DB-1831-4D5C-8BC3-A015C080E828}" name="Tým" dataDxfId="390"/>
    <tableColumn id="3" xr3:uid="{9D969413-AD41-4224-A0F4-685957D8B8FA}" name="Body" dataDxfId="389">
      <calculatedColumnFormula>VLOOKUP(Tabulka591215329354147535965[[#This Row],[Tým]],Tabulka381114228344046525864[[Tým]:[Body]],6,FALSE)+Tabulka591215329354147535965[[#This Row],[ ]]</calculatedColumnFormula>
    </tableColumn>
    <tableColumn id="4" xr3:uid="{79626BBA-4E84-497D-BFAF-773256E134AA}" name=" " dataDxfId="388">
      <calculatedColumnFormula>VLOOKUP(Tabulka591215329354147535965[[#This Row],[Tým]],Tabulka5912153293541475359[[Tým]:[Body]],2,FALSE)</calculatedColumnFormula>
    </tableColumn>
    <tableColumn id="5" xr3:uid="{87069841-0FD8-4280-A781-BC957C8CCA99}" name="Sloupec1" dataDxfId="387">
      <calculatedColumnFormula>Tabulka591215329354147535965[[#This Row],[Umístění]]</calculatedColumnFormula>
    </tableColumn>
  </tableColumns>
  <tableStyleInfo name="Styl tabulky 1 2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194C6AC4-E2E1-4B30-A31C-E28EA0F39519}" name="Tabulka171013630364248546066" displayName="Tabulka171013630364248546066" ref="N3:V12" totalsRowShown="0" headerRowDxfId="386" dataDxfId="385">
  <autoFilter ref="N3:V12" xr:uid="{3B6B0F44-04D5-4BDE-9432-A266A6F818E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N4:V53">
    <sortCondition ref="O3:O53"/>
  </sortState>
  <tableColumns count="9">
    <tableColumn id="1" xr3:uid="{8A677EE7-1A03-461D-AF82-77C91CB1426B}" name="Start. Poz." dataDxfId="384"/>
    <tableColumn id="2" xr3:uid="{BEF5B990-8A4A-4027-84DE-74451BA03466}" name="Umístění" dataDxfId="383">
      <calculatedColumnFormula>IF(Tabulka171013630364248546066[[#This Row],[ ]]="","",IF(Tabulka171013630364248546066[[#This Row],[ ]]="NEÚČAST","",IF(OR(Tabulka171013630364248546066[Výsledný čas]="N",Tabulka171013630364248546066[Výsledný čas]="D"),$X$4-$X$5,_xlfn.RANK.EQ(Tabulka171013630364248546066[[#This Row],[ ]],Tabulka171013630364248546066[[ ]],1))))</calculatedColumnFormula>
    </tableColumn>
    <tableColumn id="3" xr3:uid="{C613B3B2-ABB0-40A8-AC06-DD19333F6DA5}" name="Tým" dataDxfId="382"/>
    <tableColumn id="4" xr3:uid="{B5FF9E19-57F6-471C-825C-4DA1A4FFA6FD}" name="LP" dataDxfId="381"/>
    <tableColumn id="5" xr3:uid="{27EBB7DE-8D9C-4DF5-872B-1D37F130F378}" name="PP" dataDxfId="380"/>
    <tableColumn id="6" xr3:uid="{2474C99B-CBFA-4EA3-B12F-142033DB66AD}" name="Výsledný čas" dataDxfId="379">
      <calculatedColumnFormula>IF(OR(Tabulka171013630364248546066[[#This Row],[LP]]="N",Tabulka171013630364248546066[[#This Row],[PP]]="N"),"N",IF(OR(Tabulka171013630364248546066[[#This Row],[LP]]="D",Tabulka171013630364248546066[[#This Row],[PP]]="D"),"D",IF(OR(Tabulka171013630364248546066[[#This Row],[LP]]="NEÚČAST",Tabulka171013630364248546066[[#This Row],[PP]]="NEÚČAST"),"NEÚČAST",IF(OR(Tabulka171013630364248546066[[#This Row],[LP]]="",Tabulka171013630364248546066[[#This Row],[PP]]=""),"",MAX(Tabulka171013630364248546066[[#This Row],[LP]:[PP]])))))</calculatedColumnFormula>
    </tableColumn>
    <tableColumn id="9" xr3:uid="{5262D05D-6D69-463F-9FFD-592628D02D64}" name="Sloupec2" dataDxfId="378">
      <calculatedColumnFormula>COUNTIF(Tabulka171013630364248546066[[#This Row],[Tým]],"*")</calculatedColumnFormula>
    </tableColumn>
    <tableColumn id="8" xr3:uid="{2C8D8232-03EE-4F09-9DB5-FD5B24AA9198}" name="Sloupec1" dataDxfId="377">
      <calculatedColumnFormula>COUNTIF(Tabulka171013630364248546066[[#This Row],[Výsledný čas]],"NEÚČAST")</calculatedColumnFormula>
    </tableColumn>
    <tableColumn id="7" xr3:uid="{6B8120D2-1881-4255-852E-71F94F307273}" name=" " dataDxfId="376">
      <calculatedColumnFormula>IF(Tabulka171013630364248546066[[#This Row],[Výsledný čas]]="N",998,IF(Tabulka171013630364248546066[[#This Row],[Výsledný čas]]="D",998,IF(Tabulka171013630364248546066[[#This Row],[Výsledný čas]]="","",Tabulka171013630364248546066[[#This Row],[Výsledný čas]])))</calculatedColumnFormula>
    </tableColumn>
  </tableColumns>
  <tableStyleInfo name="Styl tabulky 1 2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8E0C7033-55D1-49CA-AF26-808081414C18}" name="Tabulka1710132531374349556167" displayName="Tabulka1710132531374349556167" ref="B3:J22" totalsRowShown="0" headerRowDxfId="375" dataDxfId="374">
  <autoFilter ref="B3:J22" xr:uid="{62D044D3-D427-4706-A77D-7F311383422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4:J53">
    <sortCondition ref="C3:C53"/>
  </sortState>
  <tableColumns count="9">
    <tableColumn id="1" xr3:uid="{CCF13B4A-4708-42AA-87EB-1AE4AB612A03}" name="Start. Poz." dataDxfId="373"/>
    <tableColumn id="2" xr3:uid="{A957E940-A033-4A4D-8FCA-2986D24831AF}" name="Umístění" dataDxfId="372">
      <calculatedColumnFormula>IF(Tabulka1710132531374349556167[[#This Row],[ ]]="","",IF(Tabulka1710132531374349556167[[#This Row],[ ]]="NEÚČAST","",IF(OR(Tabulka1710132531374349556167[Výsledný čas]="N",Tabulka1710132531374349556167[Výsledný čas]="D"),$L$4-$L$5,_xlfn.RANK.EQ(Tabulka1710132531374349556167[[#This Row],[ ]],Tabulka1710132531374349556167[[ ]],1))))</calculatedColumnFormula>
    </tableColumn>
    <tableColumn id="3" xr3:uid="{8507CF12-6647-44E3-B546-2D63C75CAE6E}" name="Tým" dataDxfId="371"/>
    <tableColumn id="4" xr3:uid="{68FF3EC5-5351-4723-9127-CA54DAA3C1C9}" name="LP" dataDxfId="370"/>
    <tableColumn id="5" xr3:uid="{87863C93-4970-41B6-8633-4E24D007A44F}" name="PP" dataDxfId="369"/>
    <tableColumn id="6" xr3:uid="{3C470E07-87B6-405E-8572-C7401843E3B0}" name="Výsledný čas" dataDxfId="368">
      <calculatedColumnFormula>IF(OR(Tabulka1710132531374349556167[[#This Row],[LP]]="N",Tabulka1710132531374349556167[[#This Row],[PP]]="N"),"N",IF(OR(Tabulka1710132531374349556167[[#This Row],[LP]]="D",Tabulka1710132531374349556167[[#This Row],[PP]]="D"),"D",IF(OR(Tabulka1710132531374349556167[[#This Row],[LP]]="NEÚČAST",Tabulka1710132531374349556167[[#This Row],[PP]]="NEÚČAST"),"NEÚČAST",IF(OR(Tabulka1710132531374349556167[[#This Row],[LP]]="",Tabulka1710132531374349556167[[#This Row],[PP]]=""),"",MAX(Tabulka1710132531374349556167[[#This Row],[LP]:[PP]])))))</calculatedColumnFormula>
    </tableColumn>
    <tableColumn id="8" xr3:uid="{71FB9724-EFF7-485D-B349-F1DD0EA74090}" name="Sloupec1" dataDxfId="367">
      <calculatedColumnFormula>COUNTIF(Tabulka1710132531374349556167[[#This Row],[Tým]],"*")</calculatedColumnFormula>
    </tableColumn>
    <tableColumn id="9" xr3:uid="{787C74C6-59BD-4692-AAD9-F3885B050F4C}" name="Sloupec2" dataDxfId="366">
      <calculatedColumnFormula>COUNTIF(Tabulka1710132531374349556167[[#This Row],[Výsledný čas]],"NEÚČAST")</calculatedColumnFormula>
    </tableColumn>
    <tableColumn id="7" xr3:uid="{8E6D5FC4-1EBB-48A7-B71C-2684E175898E}" name=" " dataDxfId="365">
      <calculatedColumnFormula>IF(Tabulka1710132531374349556167[[#This Row],[Výsledný čas]]="N",998,IF(Tabulka1710132531374349556167[[#This Row],[Výsledný čas]]="D",998,IF(Tabulka1710132531374349556167[[#This Row],[Výsledný čas]]="","",Tabulka1710132531374349556167[[#This Row],[Výsledný čas]])))</calculatedColumnFormula>
    </tableColumn>
  </tableColumns>
  <tableStyleInfo name="Styl tabulky 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F01478DD-D1B1-4F7A-A26E-59DB01B78984}" name="Tabulka3811142632384450566268" displayName="Tabulka3811142632384450566268" ref="Z3:AF22" totalsRowShown="0" headerRowDxfId="364" dataDxfId="363">
  <autoFilter ref="Z3:AF22" xr:uid="{083BB06C-1560-470E-A308-0377A133B66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xmlns:xlrd2="http://schemas.microsoft.com/office/spreadsheetml/2017/richdata2" ref="Z4:AF20">
    <sortCondition ref="Z3:Z20"/>
  </sortState>
  <tableColumns count="7">
    <tableColumn id="1" xr3:uid="{B9953C60-9372-47B5-95D0-6505DBB43E65}" name="Umístění" dataDxfId="362">
      <calculatedColumnFormula>IF(OR(Tabulka3811142632384450566268[Výsledný čas]="N",Tabulka3811142632384450566268[Výsledný čas]="D",Tabulka3811142632384450566268[Výsledný čas]="NEÚČAST"),Uvod!$E$4,_xlfn.RANK.EQ(Tabulka3811142632384450566268[[#This Row],[ ]],Tabulka3811142632384450566268[[ ]],1))</calculatedColumnFormula>
    </tableColumn>
    <tableColumn id="2" xr3:uid="{2AB3048F-52FE-4007-9D66-1B89F9AE2B69}" name="Tým" dataDxfId="361"/>
    <tableColumn id="3" xr3:uid="{6F893FBC-BA67-4073-9516-5F5E5C32B7E1}" name="LP" dataDxfId="360">
      <calculatedColumnFormula>VLOOKUP(Tabulka3811142632384450566268[[#This Row],[Tým]],Tabulka1710132531374349556167[[Tým]:[ ]],2,FALSE)</calculatedColumnFormula>
    </tableColumn>
    <tableColumn id="4" xr3:uid="{5D1017CA-EB3E-4F29-A9DE-B9028A57D4A7}" name="PP" dataDxfId="359">
      <calculatedColumnFormula>VLOOKUP(Tabulka3811142632384450566268[[#This Row],[Tým]],Tabulka1710132531374349556167[[Tým]:[ ]],3,FALSE)</calculatedColumnFormula>
    </tableColumn>
    <tableColumn id="5" xr3:uid="{26AB4DE2-0FB6-44B5-9A1D-CF51EDFA4CD8}" name="Výsledný čas" dataDxfId="358">
      <calculatedColumnFormula>VLOOKUP(Tabulka3811142632384450566268[[#This Row],[Tým]],Tabulka1710132531374349556167[[Tým]:[ ]],4,FALSE)</calculatedColumnFormula>
    </tableColumn>
    <tableColumn id="6" xr3:uid="{4659523E-BF00-470A-84A0-9AA1A35F8E35}" name=" " dataDxfId="357">
      <calculatedColumnFormula>VLOOKUP(Tabulka3811142632384450566268[[#This Row],[Tým]],Tabulka1710132531374349556167[[Tým]:[ ]],5,FALSE)</calculatedColumnFormula>
    </tableColumn>
    <tableColumn id="9" xr3:uid="{2F11D2C6-5AC6-4B0A-944E-46D53EA04B65}" name="Body" dataDxfId="356">
      <calculatedColumnFormula>IF(Tabulka3811142632384450566268[[#This Row],[Výsledný čas]]="N",5,IF(Tabulka3811142632384450566268[[#This Row],[Výsledný čas]]="D",0,IF(Tabulka3811142632384450566268[[#This Row],[Výsledný čas]]="NEÚČAST",0,Tabulka4[[#Totals],[Týmy muži]]+6-Tabulka3811142632384450566268[[#This Row],[Umístění]])))</calculatedColumnFormula>
    </tableColumn>
  </tableColumns>
  <tableStyleInfo name="Styl tabulky 1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32A33413-7A31-44F6-A6C7-F16499CD6088}" name="Tabulka5912152733394551576369" displayName="Tabulka5912152733394551576369" ref="AH3:AL22" totalsRowShown="0" headerRowDxfId="355" dataDxfId="354">
  <autoFilter ref="AH3:AL22" xr:uid="{0A08C00D-A582-4264-A100-7D00EC898DD5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H4:AK20">
    <sortCondition ref="AH3:AH20"/>
  </sortState>
  <tableColumns count="5">
    <tableColumn id="1" xr3:uid="{EA2FB566-DD06-4D7A-B7DC-D7A10B904A31}" name="Umístění" dataDxfId="353">
      <calculatedColumnFormula>_xlfn.RANK.EQ(Tabulka5912152733394551576369[[#This Row],[Body]],Tabulka5912152733394551576369[Body],0)</calculatedColumnFormula>
    </tableColumn>
    <tableColumn id="2" xr3:uid="{BAF30D45-5E06-49C9-979F-D7894FDD4622}" name="Tým" dataDxfId="352"/>
    <tableColumn id="3" xr3:uid="{E8A11776-6200-4051-B33D-882B9342BBEA}" name="Body" dataDxfId="351">
      <calculatedColumnFormula>VLOOKUP(Tabulka5912152733394551576369[[#This Row],[Tým]],Tabulka3811142632384450566268[[Tým]:[Body]],6,FALSE)+Tabulka5912152733394551576369[[#This Row],[ ]]</calculatedColumnFormula>
    </tableColumn>
    <tableColumn id="4" xr3:uid="{B46CF360-DFD3-457B-8522-EB73F930F23F}" name=" " dataDxfId="350">
      <calculatedColumnFormula>VLOOKUP(Tabulka5912152733394551576369[[#This Row],[Tým]],Tabulka59121527333945515763[[Tým]:[Body]],2,FALSE)</calculatedColumnFormula>
    </tableColumn>
    <tableColumn id="5" xr3:uid="{24CA4A02-A1F5-41E2-934F-C9AFF1B9090E}" name="Sloupec1" dataDxfId="349">
      <calculatedColumnFormula>Tabulka5912152733394551576369[[#This Row],[Umístění]]</calculatedColumnFormula>
    </tableColumn>
  </tableColumns>
  <tableStyleInfo name="Styl tabulky 1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09E74247-1B30-43F3-AC38-96EF876E3F2F}" name="Tabulka38111422834404652586470" displayName="Tabulka38111422834404652586470" ref="Z26:AF36" totalsRowShown="0" headerRowDxfId="348" dataDxfId="347">
  <autoFilter ref="Z26:AF36" xr:uid="{85A432A9-EAED-4601-841B-B8D71BCB493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xmlns:xlrd2="http://schemas.microsoft.com/office/spreadsheetml/2017/richdata2" ref="Z27:AF43">
    <sortCondition ref="Z3:Z20"/>
  </sortState>
  <tableColumns count="7">
    <tableColumn id="1" xr3:uid="{C3296441-6202-43C5-B7E4-EF16E8549220}" name="Umístění" dataDxfId="346">
      <calculatedColumnFormula>IF(OR(Tabulka38111422834404652586470[Výsledný čas]="N",Tabulka38111422834404652586470[Výsledný čas]="D",Tabulka38111422834404652586470[Výsledný čas]="NEÚČAST"),Uvod!$E$6,_xlfn.RANK.EQ(Tabulka38111422834404652586470[[#This Row],[ ]],Tabulka38111422834404652586470[[ ]],1))</calculatedColumnFormula>
    </tableColumn>
    <tableColumn id="2" xr3:uid="{6122216C-7172-4FF4-9E2B-ABCA4EDEB8DC}" name="Tým" dataDxfId="345"/>
    <tableColumn id="3" xr3:uid="{BADC92D8-FCB2-4FD4-AD69-52CB0082300D}" name="LP" dataDxfId="344">
      <calculatedColumnFormula>VLOOKUP(Tabulka38111422834404652586470[[#This Row],[Tým]],Tabulka17101363036424854606672[[Tým]:[ ]],2,FALSE)</calculatedColumnFormula>
    </tableColumn>
    <tableColumn id="4" xr3:uid="{EB90FF7F-CDFE-4C18-8B77-89391EA442DE}" name="PP" dataDxfId="343">
      <calculatedColumnFormula>VLOOKUP(Tabulka38111422834404652586470[[#This Row],[Tým]],Tabulka17101363036424854606672[[Tým]:[ ]],3,FALSE)</calculatedColumnFormula>
    </tableColumn>
    <tableColumn id="5" xr3:uid="{3D045FFE-F22F-4674-96FB-30B59F0597ED}" name="Výsledný čas" dataDxfId="342">
      <calculatedColumnFormula>VLOOKUP(Tabulka38111422834404652586470[[#This Row],[Tým]],Tabulka17101363036424854606672[[Tým]:[ ]],4,FALSE)</calculatedColumnFormula>
    </tableColumn>
    <tableColumn id="6" xr3:uid="{5935D5C4-C65C-49AA-ADB0-1B590CAC10BB}" name=" " dataDxfId="341">
      <calculatedColumnFormula>VLOOKUP(Tabulka38111422834404652586470[[#This Row],[Tým]],Tabulka17101363036424854606672[[Tým]:[ ]],5,FALSE)</calculatedColumnFormula>
    </tableColumn>
    <tableColumn id="9" xr3:uid="{3D71180B-4887-4F67-A893-0C7A79777010}" name="Body" dataDxfId="340">
      <calculatedColumnFormula>IF(Tabulka38111422834404652586470[[#This Row],[Výsledný čas]]="N",5,IF(Tabulka38111422834404652586470[[#This Row],[Výsledný čas]]="D",0,IF(Tabulka38111422834404652586470[[#This Row],[Výsledný čas]]="NEÚČAST",0,Tabulka8[[#Totals],[Týmy ženy]]+6-Tabulka38111422834404652586470[[#This Row],[Umístění]])))</calculatedColumnFormula>
    </tableColumn>
  </tableColumns>
  <tableStyleInfo name="Styl tabulky 1 2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567786CA-2C98-4974-8A90-3E890B42FC6F}" name="Tabulka59121532935414753596571" displayName="Tabulka59121532935414753596571" ref="AH26:AL36" totalsRowShown="0" headerRowDxfId="339" dataDxfId="338">
  <autoFilter ref="AH26:AL36" xr:uid="{936496D5-1C85-47AE-BF72-87FD40DB1CAE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H27:AK43">
    <sortCondition ref="AH3:AH20"/>
  </sortState>
  <tableColumns count="5">
    <tableColumn id="1" xr3:uid="{468EF2D7-3435-4227-805B-E5236B50334A}" name="Umístění" dataDxfId="337">
      <calculatedColumnFormula>_xlfn.RANK.EQ(Tabulka59121532935414753596571[[#This Row],[Body]],Tabulka59121532935414753596571[Body],0)</calculatedColumnFormula>
    </tableColumn>
    <tableColumn id="2" xr3:uid="{1612014A-B263-4840-A177-6FACEDF2AF09}" name="Tým" dataDxfId="336"/>
    <tableColumn id="3" xr3:uid="{522C4D89-8BF7-46F3-9FD9-1D100C1360CC}" name="Body" dataDxfId="335">
      <calculatedColumnFormula>VLOOKUP(Tabulka59121532935414753596571[[#This Row],[Tým]],Tabulka38111422834404652586470[[Tým]:[Body]],6,FALSE)+Tabulka59121532935414753596571[[#This Row],[ ]]</calculatedColumnFormula>
    </tableColumn>
    <tableColumn id="4" xr3:uid="{A8439552-3D2E-41A7-A421-E189761C32F0}" name=" " dataDxfId="334">
      <calculatedColumnFormula>VLOOKUP(Tabulka59121532935414753596571[[#This Row],[Tým]],Tabulka591215329354147535965[[Tým]:[Body]],2,FALSE)</calculatedColumnFormula>
    </tableColumn>
    <tableColumn id="5" xr3:uid="{F5481379-5C22-42F3-9EED-BCE849DA1878}" name="Sloupec1" dataDxfId="333">
      <calculatedColumnFormula>Tabulka59121532935414753596571[[#This Row],[Umístění]]</calculatedColumnFormula>
    </tableColumn>
  </tableColumns>
  <tableStyleInfo name="Styl tabulky 1 2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BB32E64E-0FAE-4A1B-85B0-2FBCB36F3811}" name="Tabulka17101363036424854606672" displayName="Tabulka17101363036424854606672" ref="N3:V12" totalsRowShown="0" headerRowDxfId="332" dataDxfId="331">
  <autoFilter ref="N3:V12" xr:uid="{3B6B0F44-04D5-4BDE-9432-A266A6F818E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N4:V53">
    <sortCondition ref="O3:O53"/>
  </sortState>
  <tableColumns count="9">
    <tableColumn id="1" xr3:uid="{0A6FB50D-41E1-421E-B969-5DCEC29F2028}" name="Start. Poz." dataDxfId="330"/>
    <tableColumn id="2" xr3:uid="{5280A175-1E97-4DE2-85CF-10B4811A33E2}" name="Umístění" dataDxfId="329">
      <calculatedColumnFormula>IF(Tabulka17101363036424854606672[[#This Row],[ ]]="","",IF(Tabulka17101363036424854606672[[#This Row],[ ]]="NEÚČAST","",IF(OR(Tabulka17101363036424854606672[Výsledný čas]="N",Tabulka17101363036424854606672[Výsledný čas]="D"),$X$4-$X$5,_xlfn.RANK.EQ(Tabulka17101363036424854606672[[#This Row],[ ]],Tabulka17101363036424854606672[[ ]],1))))</calculatedColumnFormula>
    </tableColumn>
    <tableColumn id="3" xr3:uid="{FE6D292E-7AF8-4A61-A871-8378450F0BA7}" name="Tým" dataDxfId="328"/>
    <tableColumn id="4" xr3:uid="{7CADBDDA-94F1-4334-83AF-BD26341911DD}" name="LP" dataDxfId="327"/>
    <tableColumn id="5" xr3:uid="{7DAA8A2D-CCFF-4E9D-8A01-74F6562B599E}" name="PP" dataDxfId="326"/>
    <tableColumn id="6" xr3:uid="{30832D69-5EE3-4573-B091-F060D9C8FCAA}" name="Výsledný čas" dataDxfId="325">
      <calculatedColumnFormula>IF(OR(Tabulka17101363036424854606672[[#This Row],[LP]]="N",Tabulka17101363036424854606672[[#This Row],[PP]]="N"),"N",IF(OR(Tabulka17101363036424854606672[[#This Row],[LP]]="D",Tabulka17101363036424854606672[[#This Row],[PP]]="D"),"D",IF(OR(Tabulka17101363036424854606672[[#This Row],[LP]]="NEÚČAST",Tabulka17101363036424854606672[[#This Row],[PP]]="NEÚČAST"),"NEÚČAST",IF(OR(Tabulka17101363036424854606672[[#This Row],[LP]]="",Tabulka17101363036424854606672[[#This Row],[PP]]=""),"",MAX(Tabulka17101363036424854606672[[#This Row],[LP]:[PP]])))))</calculatedColumnFormula>
    </tableColumn>
    <tableColumn id="9" xr3:uid="{CBE2AD65-97D4-4BBE-BFC6-89DA7A9D7D08}" name="Sloupec2" dataDxfId="324">
      <calculatedColumnFormula>COUNTIF(Tabulka17101363036424854606672[[#This Row],[Tým]],"*")</calculatedColumnFormula>
    </tableColumn>
    <tableColumn id="8" xr3:uid="{9ED67E6B-F896-45AA-96C6-0D3B99516A54}" name="Sloupec1" dataDxfId="323">
      <calculatedColumnFormula>COUNTIF(Tabulka17101363036424854606672[[#This Row],[Výsledný čas]],"NEÚČAST")</calculatedColumnFormula>
    </tableColumn>
    <tableColumn id="7" xr3:uid="{FB6F0981-2DD1-40FE-849A-4F5BDF9F324D}" name=" " dataDxfId="322">
      <calculatedColumnFormula>IF(Tabulka17101363036424854606672[[#This Row],[Výsledný čas]]="N",998,IF(Tabulka17101363036424854606672[[#This Row],[Výsledný čas]]="D",998,IF(Tabulka17101363036424854606672[[#This Row],[Výsledný čas]]="","",Tabulka17101363036424854606672[[#This Row],[Výsledný čas]])))</calculatedColumnFormula>
    </tableColumn>
  </tableColumns>
  <tableStyleInfo name="Styl tabulky 1 2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2BA400EA-9DEE-4FFA-88B4-4F193A78BA5E}" name="Tabulka171013253137434955616773" displayName="Tabulka171013253137434955616773" ref="B3:J22" totalsRowShown="0" headerRowDxfId="321" dataDxfId="320">
  <autoFilter ref="B3:J22" xr:uid="{62D044D3-D427-4706-A77D-7F311383422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4:J53">
    <sortCondition ref="C3:C53"/>
  </sortState>
  <tableColumns count="9">
    <tableColumn id="1" xr3:uid="{C2D08F82-5641-4221-A5CB-81D3AF2BFB03}" name="Start. Poz." dataDxfId="319"/>
    <tableColumn id="2" xr3:uid="{3F2F1F3F-36F5-4213-833E-D3498AD90052}" name="Umístění" dataDxfId="318">
      <calculatedColumnFormula>IF(Tabulka171013253137434955616773[[#This Row],[ ]]="","",IF(Tabulka171013253137434955616773[[#This Row],[ ]]="NEÚČAST","",IF(OR(Tabulka171013253137434955616773[Výsledný čas]="N",Tabulka171013253137434955616773[Výsledný čas]="D"),$L$4-$L$5,_xlfn.RANK.EQ(Tabulka171013253137434955616773[[#This Row],[ ]],Tabulka171013253137434955616773[[ ]],1))))</calculatedColumnFormula>
    </tableColumn>
    <tableColumn id="3" xr3:uid="{BA954549-E57A-4D44-9175-85F07D2948DE}" name="Tým" dataDxfId="317"/>
    <tableColumn id="4" xr3:uid="{A6606864-B8CE-45DE-86D3-D011752959BC}" name="LP" dataDxfId="316"/>
    <tableColumn id="5" xr3:uid="{2A5CC487-9823-4FFE-80C3-5D5F089E7281}" name="PP" dataDxfId="315"/>
    <tableColumn id="6" xr3:uid="{763BDF4F-8D97-4B7B-B009-207C584BF81C}" name="Výsledný čas" dataDxfId="314">
      <calculatedColumnFormula>IF(OR(Tabulka171013253137434955616773[[#This Row],[LP]]="N",Tabulka171013253137434955616773[[#This Row],[PP]]="N"),"N",IF(OR(Tabulka171013253137434955616773[[#This Row],[LP]]="D",Tabulka171013253137434955616773[[#This Row],[PP]]="D"),"D",IF(OR(Tabulka171013253137434955616773[[#This Row],[LP]]="NEÚČAST",Tabulka171013253137434955616773[[#This Row],[PP]]="NEÚČAST"),"NEÚČAST",IF(OR(Tabulka171013253137434955616773[[#This Row],[LP]]="",Tabulka171013253137434955616773[[#This Row],[PP]]=""),"",MAX(Tabulka171013253137434955616773[[#This Row],[LP]:[PP]])))))</calculatedColumnFormula>
    </tableColumn>
    <tableColumn id="8" xr3:uid="{6744E729-2462-4E06-B895-6F68382C7CF6}" name="Sloupec1" dataDxfId="313">
      <calculatedColumnFormula>COUNTIF(Tabulka171013253137434955616773[[#This Row],[Tým]],"*")</calculatedColumnFormula>
    </tableColumn>
    <tableColumn id="9" xr3:uid="{39759FAF-94C1-4701-9082-199C7158FE76}" name="Sloupec2" dataDxfId="312">
      <calculatedColumnFormula>COUNTIF(Tabulka171013253137434955616773[[#This Row],[Výsledný čas]],"NEÚČAST")</calculatedColumnFormula>
    </tableColumn>
    <tableColumn id="7" xr3:uid="{F4B8E48B-A6CA-4A33-989E-B19CF1337B38}" name=" " dataDxfId="311">
      <calculatedColumnFormula>IF(Tabulka171013253137434955616773[[#This Row],[Výsledný čas]]="N",998,IF(Tabulka171013253137434955616773[[#This Row],[Výsledný čas]]="D",998,IF(Tabulka171013253137434955616773[[#This Row],[Výsledný čas]]="","",Tabulka171013253137434955616773[[#This Row],[Výsledný čas]])))</calculatedColumnFormula>
    </tableColumn>
  </tableColumns>
  <tableStyleInfo name="Styl tabulky 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D78BF7D-8B28-442A-A862-380489989F07}" name="Tabulka98" displayName="Tabulka98" ref="B53:S72" totalsRowShown="0" headerRowDxfId="867" dataDxfId="866">
  <autoFilter ref="B53:S72" xr:uid="{2D78BF7D-8B28-442A-A862-380489989F07}"/>
  <sortState xmlns:xlrd2="http://schemas.microsoft.com/office/spreadsheetml/2017/richdata2" ref="B54:S72">
    <sortCondition ref="S54:S72"/>
  </sortState>
  <tableColumns count="18">
    <tableColumn id="1" xr3:uid="{E46E6C67-B495-4E14-92C3-25089782FBC2}" name="Sloupec1" dataDxfId="865"/>
    <tableColumn id="2" xr3:uid="{47585AB6-411E-4052-A111-EFE154523DF1}" name="Sloupec2" dataDxfId="864">
      <calculatedColumnFormula>IF('1. k'!$D$4="","",VLOOKUP(Tabulka98[[#This Row],[Sloupec1]],Tabulka38111420[[Tým]:[Body]],6,FALSE))</calculatedColumnFormula>
    </tableColumn>
    <tableColumn id="3" xr3:uid="{3782F2DB-FAC3-4B9F-8A66-AF596B4CABD7}" name="Sloupec3" dataDxfId="863">
      <calculatedColumnFormula>IF('2. k'!$D$4="","",VLOOKUP(Tabulka98[[#This Row],[Sloupec1]],Tabulka381114[[Tým]:[Body]],6,FALSE))</calculatedColumnFormula>
    </tableColumn>
    <tableColumn id="4" xr3:uid="{1ABB06A7-273C-4191-B4EF-03B35A761C78}" name="Sloupec4" dataDxfId="862">
      <calculatedColumnFormula>IF('3. k'!$D$4="","",VLOOKUP(Tabulka98[[#This Row],[Sloupec1]],Tabulka38111426[[Tým]:[Body]],6,FALSE))</calculatedColumnFormula>
    </tableColumn>
    <tableColumn id="5" xr3:uid="{1E6B3FBA-E38E-4C6D-8755-DFE0E0DFC868}" name="Sloupec5" dataDxfId="861">
      <calculatedColumnFormula>IF('4. k'!$D$4="","",VLOOKUP(Tabulka98[[#This Row],[Sloupec1]],Tabulka3811142632[[Tým]:[Body]],6,FALSE))</calculatedColumnFormula>
    </tableColumn>
    <tableColumn id="6" xr3:uid="{570DCAA2-7709-43D8-BC50-B77BD85C1AE6}" name="Sloupec6" dataDxfId="860">
      <calculatedColumnFormula>IF('5. k'!D4="","",VLOOKUP(Tabulka98[[#This Row],[Sloupec1]],Tabulka381114263238[[Tým]:[Body]],6,FALSE))</calculatedColumnFormula>
    </tableColumn>
    <tableColumn id="7" xr3:uid="{EC2EA394-DABE-41DA-9291-E7D1FA8CCA2E}" name="Sloupec7" dataDxfId="859">
      <calculatedColumnFormula>IF('6. k'!D4="","",VLOOKUP(Tabulka98[[#This Row],[Sloupec1]],Tabulka38111426323844[[Tým]:[Body]],6,FALSE))</calculatedColumnFormula>
    </tableColumn>
    <tableColumn id="8" xr3:uid="{947F0AC4-BB11-4F46-A78B-16ACEDA30DF0}" name="Sloupec8" dataDxfId="858">
      <calculatedColumnFormula>IF('7. k'!D4="","",VLOOKUP(Tabulka98[[#This Row],[Sloupec1]],Tabulka3811142632384450[[Tým]:[Body]],6,FALSE))</calculatedColumnFormula>
    </tableColumn>
    <tableColumn id="9" xr3:uid="{02A26449-98D4-4D61-80C8-B51738F01A0B}" name="Sloupec9" dataDxfId="857">
      <calculatedColumnFormula>IF('8. k'!D4="","",VLOOKUP(Tabulka98[[#This Row],[Sloupec1]],Tabulka381114263238445056[[Tým]:[Body]],6,FALSE))</calculatedColumnFormula>
    </tableColumn>
    <tableColumn id="10" xr3:uid="{A0B15016-812A-4DA1-9663-BC9CA220CD9B}" name="Sloupec10" dataDxfId="856">
      <calculatedColumnFormula>IF('9. k'!D4="","",VLOOKUP(Tabulka98[[#This Row],[Sloupec1]],Tabulka38111426323844505662[[Tým]:[Body]],6,FALSE))</calculatedColumnFormula>
    </tableColumn>
    <tableColumn id="11" xr3:uid="{5FD3126A-5FDF-4F79-B60F-AEE3A580BF76}" name="Sloupec11" dataDxfId="855">
      <calculatedColumnFormula>IF('10. k'!D4="","",VLOOKUP(Tabulka98[[#This Row],[Sloupec1]],Tabulka3811142632384450566268[[Tým]:[Body]],6,FALSE))</calculatedColumnFormula>
    </tableColumn>
    <tableColumn id="12" xr3:uid="{E01B2AD1-3CFE-4929-A167-64EF628D41BF}" name="Sloupec12" dataDxfId="854">
      <calculatedColumnFormula>IF('11. k'!D4="","",VLOOKUP(Tabulka98[[#This Row],[Sloupec1]],Tabulka381114263238445056626874[[Tým]:[Body]],6,FALSE))</calculatedColumnFormula>
    </tableColumn>
    <tableColumn id="13" xr3:uid="{FB48E800-82F9-4A13-AF49-EDAB5CDB0548}" name="Sloupec13" dataDxfId="853">
      <calculatedColumnFormula>IF('12. k'!D4="","",VLOOKUP(Tabulka98[[#This Row],[Sloupec1]],Tabulka38111426323844505662687480[[Tým]:[Body]],6,FALSE))</calculatedColumnFormula>
    </tableColumn>
    <tableColumn id="14" xr3:uid="{5C937FB6-6118-4631-9506-7D2A221642C9}" name="Sloupec14" dataDxfId="852">
      <calculatedColumnFormula>IF('13. k'!D4="","",VLOOKUP(Tabulka98[[#This Row],[Sloupec1]],Tabulka3811142632384450566268748086[[Tým]:[Body]],6,FALSE))</calculatedColumnFormula>
    </tableColumn>
    <tableColumn id="15" xr3:uid="{1976B8F7-CF9B-43F3-AD49-3EFA8D95CD12}" name="Sloupec15" dataDxfId="851">
      <calculatedColumnFormula>IF('14. k'!$D$4="","",VLOOKUP(Tabulka98[[#This Row],[Sloupec1]],Tabulka381114263238445056626874808692[[Tým]:[Body]],6,FALSE))</calculatedColumnFormula>
    </tableColumn>
    <tableColumn id="16" xr3:uid="{A2E0B97B-6624-4339-8AC6-2D6513B19BAF}" name="Sloupec16" dataDxfId="850">
      <calculatedColumnFormula>IF('15. k'!D4="","",VLOOKUP(Tabulka98[[#This Row],[Sloupec1]],Tabulka38111426323844505662687480869298[[Tým]:[Body]],6,FALSE))</calculatedColumnFormula>
    </tableColumn>
    <tableColumn id="21" xr3:uid="{42E8CF46-A855-4C82-91E2-FDAA44A407FE}" name="Sloupec17" dataDxfId="849">
      <calculatedColumnFormula>SUM(Tabulka98[[#This Row],[Sloupec2]:[Sloupec16]])</calculatedColumnFormula>
    </tableColumn>
    <tableColumn id="22" xr3:uid="{7421C702-7357-4F01-8A2A-9DD011DDA993}" name="Sloupec18" dataDxfId="848">
      <calculatedColumnFormula>_xlfn.RANK.EQ(Tabulka98[[#This Row],[Sloupec17]],Tabulka98[Sloupec17],0)</calculatedColumnFormula>
    </tableColumn>
  </tableColumns>
  <tableStyleInfo name="Styl tabulky 1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516F502A-1504-4AC8-9BFD-8CB929E0DCF2}" name="Tabulka381114263238445056626874" displayName="Tabulka381114263238445056626874" ref="Z3:AF22" totalsRowShown="0" headerRowDxfId="310" dataDxfId="309">
  <autoFilter ref="Z3:AF22" xr:uid="{083BB06C-1560-470E-A308-0377A133B66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xmlns:xlrd2="http://schemas.microsoft.com/office/spreadsheetml/2017/richdata2" ref="Z4:AF20">
    <sortCondition ref="Z3:Z20"/>
  </sortState>
  <tableColumns count="7">
    <tableColumn id="1" xr3:uid="{E4A6A8D1-6D13-4B19-AF71-B519A347E796}" name="Umístění" dataDxfId="308">
      <calculatedColumnFormula>IF(OR(Tabulka381114263238445056626874[Výsledný čas]="N",Tabulka381114263238445056626874[Výsledný čas]="D",Tabulka381114263238445056626874[Výsledný čas]="NEÚČAST"),Uvod!$E$4,_xlfn.RANK.EQ(Tabulka381114263238445056626874[[#This Row],[ ]],Tabulka381114263238445056626874[[ ]],1))</calculatedColumnFormula>
    </tableColumn>
    <tableColumn id="2" xr3:uid="{CF8ED1C4-0E83-4F51-8AFD-7B04AD2C6D31}" name="Tým" dataDxfId="307"/>
    <tableColumn id="3" xr3:uid="{761AA303-B8E1-4776-A5CE-0BA69FCDB6EF}" name="LP" dataDxfId="306">
      <calculatedColumnFormula>VLOOKUP(Tabulka381114263238445056626874[[#This Row],[Tým]],Tabulka171013253137434955616773[[Tým]:[ ]],2,FALSE)</calculatedColumnFormula>
    </tableColumn>
    <tableColumn id="4" xr3:uid="{CAAE8323-C8F1-43C9-A24E-5B153D145FD6}" name="PP" dataDxfId="305">
      <calculatedColumnFormula>VLOOKUP(Tabulka381114263238445056626874[[#This Row],[Tým]],Tabulka171013253137434955616773[[Tým]:[ ]],3,FALSE)</calculatedColumnFormula>
    </tableColumn>
    <tableColumn id="5" xr3:uid="{523FE92B-3277-4496-8932-12E162965797}" name="Výsledný čas" dataDxfId="304">
      <calculatedColumnFormula>VLOOKUP(Tabulka381114263238445056626874[[#This Row],[Tým]],Tabulka171013253137434955616773[[Tým]:[ ]],4,FALSE)</calculatedColumnFormula>
    </tableColumn>
    <tableColumn id="6" xr3:uid="{1DE19BF4-0BE6-4334-99B3-CB3B361CE491}" name=" " dataDxfId="303">
      <calculatedColumnFormula>VLOOKUP(Tabulka381114263238445056626874[[#This Row],[Tým]],Tabulka171013253137434955616773[[Tým]:[ ]],7,FALSE)</calculatedColumnFormula>
    </tableColumn>
    <tableColumn id="9" xr3:uid="{822F065F-02BF-465B-BF30-8C908CF24295}" name="Body" dataDxfId="302">
      <calculatedColumnFormula>IF(Tabulka381114263238445056626874[[#This Row],[Výsledný čas]]="N",5,IF(Tabulka381114263238445056626874[[#This Row],[Výsledný čas]]="D",0,IF(Tabulka381114263238445056626874[[#This Row],[Výsledný čas]]="NEÚČAST",0,Tabulka4[[#Totals],[Týmy muži]]+6-Tabulka381114263238445056626874[[#This Row],[Umístění]])))</calculatedColumnFormula>
    </tableColumn>
  </tableColumns>
  <tableStyleInfo name="Styl tabulky 1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1F66E951-497B-4687-8E79-1B5A27ACADB1}" name="Tabulka591215273339455157636975" displayName="Tabulka591215273339455157636975" ref="AH3:AL22" totalsRowShown="0" headerRowDxfId="301" dataDxfId="300">
  <autoFilter ref="AH3:AL22" xr:uid="{0A08C00D-A582-4264-A100-7D00EC898DD5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H4:AK20">
    <sortCondition ref="AH3:AH20"/>
  </sortState>
  <tableColumns count="5">
    <tableColumn id="1" xr3:uid="{AE088893-CDE2-4C5C-8B22-52BE4A817F72}" name="Umístění" dataDxfId="299">
      <calculatedColumnFormula>_xlfn.RANK.EQ(Tabulka591215273339455157636975[[#This Row],[Body]],Tabulka591215273339455157636975[Body],0)</calculatedColumnFormula>
    </tableColumn>
    <tableColumn id="2" xr3:uid="{F48042EB-98A0-4E0A-BE3E-C7F9E7490694}" name="Tým" dataDxfId="298"/>
    <tableColumn id="3" xr3:uid="{F2193778-CF06-4396-9066-B373CEABD588}" name="Body" dataDxfId="297">
      <calculatedColumnFormula>VLOOKUP(Tabulka591215273339455157636975[[#This Row],[Tým]],Tabulka381114263238445056626874[[Tým]:[Body]],6,FALSE)+Tabulka591215273339455157636975[[#This Row],[ ]]</calculatedColumnFormula>
    </tableColumn>
    <tableColumn id="4" xr3:uid="{C1DC51FE-9C40-4875-B9B4-AEDFD41FC04B}" name=" " dataDxfId="296">
      <calculatedColumnFormula>VLOOKUP(Tabulka591215273339455157636975[[#This Row],[Tým]],Tabulka5912152733394551576369[[Tým]:[Body]],2,FALSE)</calculatedColumnFormula>
    </tableColumn>
    <tableColumn id="6" xr3:uid="{2178E2D2-4E82-4F67-A4BD-4656377CA910}" name="Sloupec1" dataDxfId="295">
      <calculatedColumnFormula>Tabulka591215273339455157636975[[#This Row],[Umístění]]</calculatedColumnFormula>
    </tableColumn>
  </tableColumns>
  <tableStyleInfo name="Styl tabulky 1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8D77C013-E4E7-4A67-A0EF-3419E817B475}" name="Tabulka3811142283440465258647076" displayName="Tabulka3811142283440465258647076" ref="Z26:AF36" totalsRowShown="0" headerRowDxfId="294" dataDxfId="293">
  <autoFilter ref="Z26:AF36" xr:uid="{85A432A9-EAED-4601-841B-B8D71BCB493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xmlns:xlrd2="http://schemas.microsoft.com/office/spreadsheetml/2017/richdata2" ref="Z27:AF43">
    <sortCondition ref="Z3:Z20"/>
  </sortState>
  <tableColumns count="7">
    <tableColumn id="1" xr3:uid="{01994788-B6CC-462D-9265-229B2A01613C}" name="Umístění" dataDxfId="292">
      <calculatedColumnFormula>IF(OR(Tabulka3811142283440465258647076[Výsledný čas]="N",Tabulka3811142283440465258647076[Výsledný čas]="D",Tabulka3811142283440465258647076[Výsledný čas]="NEÚČAST"),Uvod!$E$6,_xlfn.RANK.EQ(Tabulka3811142283440465258647076[[#This Row],[ ]],Tabulka3811142283440465258647076[[ ]],1))</calculatedColumnFormula>
    </tableColumn>
    <tableColumn id="2" xr3:uid="{DC141089-D683-4251-B343-8590BB23F1B4}" name="Tým" dataDxfId="291"/>
    <tableColumn id="3" xr3:uid="{746198C6-F283-48C9-9D77-29720620C4EF}" name="LP" dataDxfId="290">
      <calculatedColumnFormula>VLOOKUP(Tabulka3811142283440465258647076[[#This Row],[Tým]],Tabulka1710136303642485460667278[[Tým]:[ ]],2,FALSE)</calculatedColumnFormula>
    </tableColumn>
    <tableColumn id="4" xr3:uid="{4BD8D1F7-9252-40EF-864B-562E9A25FCAF}" name="PP" dataDxfId="289">
      <calculatedColumnFormula>VLOOKUP(Tabulka3811142283440465258647076[[#This Row],[Tým]],Tabulka1710136303642485460667278[[Tým]:[ ]],3,FALSE)</calculatedColumnFormula>
    </tableColumn>
    <tableColumn id="5" xr3:uid="{D86439BC-8B5E-4F97-A046-D0EBB45D4B15}" name="Výsledný čas" dataDxfId="288">
      <calculatedColumnFormula>VLOOKUP(Tabulka3811142283440465258647076[[#This Row],[Tým]],Tabulka1710136303642485460667278[[Tým]:[ ]],4,FALSE)</calculatedColumnFormula>
    </tableColumn>
    <tableColumn id="6" xr3:uid="{7A033435-8DBF-4EEF-93E0-504B5626758C}" name=" " dataDxfId="287">
      <calculatedColumnFormula>VLOOKUP(Tabulka3811142283440465258647076[[#This Row],[Tým]],Tabulka1710136303642485460667278[[Tým]:[ ]],7,FALSE)</calculatedColumnFormula>
    </tableColumn>
    <tableColumn id="9" xr3:uid="{E59D6E5B-76E9-4C17-8D37-F5D5768D3633}" name="Body" dataDxfId="286">
      <calculatedColumnFormula>IF(Tabulka3811142283440465258647076[[#This Row],[Výsledný čas]]="N",5,IF(Tabulka3811142283440465258647076[[#This Row],[Výsledný čas]]="D",0,IF(Tabulka3811142283440465258647076[[#This Row],[Výsledný čas]]="NEÚČAST",0,Tabulka8[[#Totals],[Týmy ženy]]+6-Tabulka3811142283440465258647076[[#This Row],[Umístění]])))</calculatedColumnFormula>
    </tableColumn>
  </tableColumns>
  <tableStyleInfo name="Styl tabulky 1 2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39E61B47-E91C-4E20-BEB8-9DEBE55E634E}" name="Tabulka5912153293541475359657177" displayName="Tabulka5912153293541475359657177" ref="AH26:AL36" totalsRowShown="0" headerRowDxfId="285" dataDxfId="284">
  <autoFilter ref="AH26:AL36" xr:uid="{936496D5-1C85-47AE-BF72-87FD40DB1CAE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H27:AK43">
    <sortCondition ref="AH3:AH20"/>
  </sortState>
  <tableColumns count="5">
    <tableColumn id="1" xr3:uid="{8FAD936F-376D-49E0-BBE8-2F5780CBC78E}" name="Umístění" dataDxfId="283">
      <calculatedColumnFormula>_xlfn.RANK.EQ(Tabulka5912153293541475359657177[[#This Row],[Body]],Tabulka5912153293541475359657177[Body],0)</calculatedColumnFormula>
    </tableColumn>
    <tableColumn id="2" xr3:uid="{8D4A7803-781C-49F0-8B8C-969973E3F713}" name="Tým" dataDxfId="282"/>
    <tableColumn id="3" xr3:uid="{48ACB6C2-0B3D-40A9-AE0A-9869443C3F97}" name="Body" dataDxfId="281">
      <calculatedColumnFormula>VLOOKUP(Tabulka5912153293541475359657177[[#This Row],[Tým]],Tabulka3811142283440465258647076[[Tým]:[Body]],6,FALSE)+Tabulka5912153293541475359657177[[#This Row],[ ]]</calculatedColumnFormula>
    </tableColumn>
    <tableColumn id="4" xr3:uid="{20AE669F-F957-46BC-B591-655597E7EC33}" name=" " dataDxfId="280">
      <calculatedColumnFormula>VLOOKUP(Tabulka5912153293541475359657177[[#This Row],[Tým]],Tabulka59121532935414753596571[[Tým]:[Body]],2,FALSE)</calculatedColumnFormula>
    </tableColumn>
    <tableColumn id="5" xr3:uid="{E5E27801-7619-45B4-8F37-46C8C879E5F3}" name="Sloupec1" dataDxfId="279">
      <calculatedColumnFormula>Tabulka5912153293541475359657177[[#This Row],[Umístění]]</calculatedColumnFormula>
    </tableColumn>
  </tableColumns>
  <tableStyleInfo name="Styl tabulky 1 2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C2C9F242-F347-421C-B1F5-303CCF2E9499}" name="Tabulka1710136303642485460667278" displayName="Tabulka1710136303642485460667278" ref="N3:V12" totalsRowShown="0" headerRowDxfId="278" dataDxfId="277">
  <autoFilter ref="N3:V12" xr:uid="{3B6B0F44-04D5-4BDE-9432-A266A6F818E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N4:V53">
    <sortCondition ref="O3:O53"/>
  </sortState>
  <tableColumns count="9">
    <tableColumn id="1" xr3:uid="{871EB97A-3C49-409F-9713-2979385834A8}" name="Start. Poz." dataDxfId="276"/>
    <tableColumn id="2" xr3:uid="{ECCA7664-F6C7-40E9-987F-20FE512FE622}" name="Umístění" dataDxfId="275">
      <calculatedColumnFormula>IF(Tabulka1710136303642485460667278[[#This Row],[ ]]="","",IF(Tabulka1710136303642485460667278[[#This Row],[ ]]="NEÚČAST","",IF(OR(Tabulka1710136303642485460667278[Výsledný čas]="N",Tabulka1710136303642485460667278[Výsledný čas]="D"),$X$4-$X$5,_xlfn.RANK.EQ(Tabulka1710136303642485460667278[[#This Row],[ ]],Tabulka1710136303642485460667278[[ ]],1))))</calculatedColumnFormula>
    </tableColumn>
    <tableColumn id="3" xr3:uid="{D4507855-94AF-4D76-A028-7572F91DF5C6}" name="Tým" dataDxfId="274"/>
    <tableColumn id="4" xr3:uid="{9AB0FF29-91E1-4B07-925E-6D32FD9F3CDD}" name="LP" dataDxfId="273"/>
    <tableColumn id="5" xr3:uid="{95F2EE70-3F0A-4B8D-AE60-A708CA6493AE}" name="PP" dataDxfId="272"/>
    <tableColumn id="6" xr3:uid="{8E5F6DB2-376B-442E-A921-BFFC992B3E54}" name="Výsledný čas" dataDxfId="271">
      <calculatedColumnFormula>IF(OR(Tabulka1710136303642485460667278[[#This Row],[LP]]="N",Tabulka1710136303642485460667278[[#This Row],[PP]]="N"),"N",IF(OR(Tabulka1710136303642485460667278[[#This Row],[LP]]="D",Tabulka1710136303642485460667278[[#This Row],[PP]]="D"),"D",IF(OR(Tabulka1710136303642485460667278[[#This Row],[LP]]="NEÚČAST",Tabulka1710136303642485460667278[[#This Row],[PP]]="NEÚČAST"),"NEÚČAST",IF(OR(Tabulka1710136303642485460667278[[#This Row],[LP]]="",Tabulka1710136303642485460667278[[#This Row],[PP]]=""),"",MAX(Tabulka1710136303642485460667278[[#This Row],[LP]:[PP]])))))</calculatedColumnFormula>
    </tableColumn>
    <tableColumn id="8" xr3:uid="{B7303634-2030-4922-82CF-ABFF06703ACB}" name="Sloupec1" dataDxfId="270">
      <calculatedColumnFormula>COUNTIF(Tabulka1710136303642485460667278[[#This Row],[Tým]],"*")</calculatedColumnFormula>
    </tableColumn>
    <tableColumn id="9" xr3:uid="{BCAF4DAF-3D9A-4112-B115-6EB0BC096DDA}" name="Sloupec2" dataDxfId="269">
      <calculatedColumnFormula>COUNTIF(Tabulka1710136303642485460667278[[#This Row],[Výsledný čas]],"NEÚČAST")</calculatedColumnFormula>
    </tableColumn>
    <tableColumn id="7" xr3:uid="{9C8E674E-A121-4FEE-BDEF-45FABF37ABF3}" name=" " dataDxfId="268">
      <calculatedColumnFormula>IF(Tabulka1710136303642485460667278[[#This Row],[Výsledný čas]]="N",998,IF(Tabulka1710136303642485460667278[[#This Row],[Výsledný čas]]="D",998,IF(Tabulka1710136303642485460667278[[#This Row],[Výsledný čas]]="","",Tabulka1710136303642485460667278[[#This Row],[Výsledný čas]])))</calculatedColumnFormula>
    </tableColumn>
  </tableColumns>
  <tableStyleInfo name="Styl tabulky 1 2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C39CDDB2-230F-4B7B-87DE-FB6647AD7E41}" name="Tabulka17101325313743495561677379" displayName="Tabulka17101325313743495561677379" ref="B3:J22" totalsRowShown="0" headerRowDxfId="267" dataDxfId="266">
  <autoFilter ref="B3:J22" xr:uid="{62D044D3-D427-4706-A77D-7F311383422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4:J53">
    <sortCondition ref="C3:C53"/>
  </sortState>
  <tableColumns count="9">
    <tableColumn id="1" xr3:uid="{8167EEB4-0BDA-42B9-9ED5-6E83D97A2A27}" name="Start. Poz." dataDxfId="265"/>
    <tableColumn id="2" xr3:uid="{3D4D1159-0D8E-40B4-8858-808874BF53A5}" name="Umístění" dataDxfId="264">
      <calculatedColumnFormula>IF(Tabulka17101325313743495561677379[[#This Row],[ ]]="","",IF(Tabulka17101325313743495561677379[[#This Row],[ ]]="NEÚČAST","",IF(OR(Tabulka17101325313743495561677379[Výsledný čas]="N",Tabulka17101325313743495561677379[Výsledný čas]="D"),$L$4-$L$5,_xlfn.RANK.EQ(Tabulka17101325313743495561677379[[#This Row],[ ]],Tabulka17101325313743495561677379[[ ]],1))))</calculatedColumnFormula>
    </tableColumn>
    <tableColumn id="3" xr3:uid="{A459E154-EE5A-4EB3-A930-80B93D2B9AE2}" name="Tým" dataDxfId="263"/>
    <tableColumn id="4" xr3:uid="{CDEDFBE6-289D-4A85-BC2A-9FDFEEAF81FE}" name="LP" dataDxfId="262"/>
    <tableColumn id="5" xr3:uid="{8B1AEC13-4A8E-46C0-AD1E-0F617B516585}" name="PP" dataDxfId="261"/>
    <tableColumn id="6" xr3:uid="{B08044A9-1784-4C38-A405-2D0CEBEC377E}" name="Výsledný čas" dataDxfId="260">
      <calculatedColumnFormula>IF(OR(Tabulka17101325313743495561677379[[#This Row],[LP]]="N",Tabulka17101325313743495561677379[[#This Row],[PP]]="N"),"N",IF(OR(Tabulka17101325313743495561677379[[#This Row],[LP]]="D",Tabulka17101325313743495561677379[[#This Row],[PP]]="D"),"D",IF(OR(Tabulka17101325313743495561677379[[#This Row],[LP]]="NEÚČAST",Tabulka17101325313743495561677379[[#This Row],[PP]]="NEÚČAST"),"NEÚČAST",IF(OR(Tabulka17101325313743495561677379[[#This Row],[LP]]="",Tabulka17101325313743495561677379[[#This Row],[PP]]=""),"",MAX(Tabulka17101325313743495561677379[[#This Row],[LP]:[PP]])))))</calculatedColumnFormula>
    </tableColumn>
    <tableColumn id="8" xr3:uid="{85C2EBBC-D493-4621-9525-794A49611033}" name="Sloupec1" dataDxfId="259">
      <calculatedColumnFormula>COUNTIF(Tabulka17101325313743495561677379[[#This Row],[Tým]],"*")</calculatedColumnFormula>
    </tableColumn>
    <tableColumn id="9" xr3:uid="{01263CE7-1607-45D5-9BA2-A84C0A1EC545}" name="Sloupec2" dataDxfId="258">
      <calculatedColumnFormula>COUNTIF(Tabulka17101325313743495561677379[[#This Row],[Výsledný čas]],"NEÚČAST")</calculatedColumnFormula>
    </tableColumn>
    <tableColumn id="7" xr3:uid="{18B23DDC-7F0B-4F73-AF04-03668E3418B8}" name=" " dataDxfId="257">
      <calculatedColumnFormula>IF(Tabulka17101325313743495561677379[[#This Row],[Výsledný čas]]="N",998,IF(Tabulka17101325313743495561677379[[#This Row],[Výsledný čas]]="D",998,IF(Tabulka17101325313743495561677379[[#This Row],[Výsledný čas]]="","",Tabulka17101325313743495561677379[[#This Row],[Výsledný čas]])))</calculatedColumnFormula>
    </tableColumn>
  </tableColumns>
  <tableStyleInfo name="Styl tabulky 1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89616EDB-BE08-4754-9D13-BD4A3B835A6A}" name="Tabulka38111426323844505662687480" displayName="Tabulka38111426323844505662687480" ref="Z3:AF22" totalsRowShown="0" headerRowDxfId="256" dataDxfId="255">
  <autoFilter ref="Z3:AF22" xr:uid="{083BB06C-1560-470E-A308-0377A133B66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xmlns:xlrd2="http://schemas.microsoft.com/office/spreadsheetml/2017/richdata2" ref="Z4:AF20">
    <sortCondition ref="Z3:Z20"/>
  </sortState>
  <tableColumns count="7">
    <tableColumn id="1" xr3:uid="{B2B988A9-0FAA-4F38-989E-6246108444E7}" name="Umístění" dataDxfId="254">
      <calculatedColumnFormula>IF(OR(Tabulka38111426323844505662687480[Výsledný čas]="N",Tabulka38111426323844505662687480[Výsledný čas]="D",Tabulka38111426323844505662687480[Výsledný čas]="NEÚČAST"),Uvod!$E$4,_xlfn.RANK.EQ(Tabulka38111426323844505662687480[[#This Row],[ ]],Tabulka38111426323844505662687480[[ ]],1))</calculatedColumnFormula>
    </tableColumn>
    <tableColumn id="2" xr3:uid="{B586B6CF-AA22-42DE-B220-629F4CBE05F2}" name="Tým" dataDxfId="253"/>
    <tableColumn id="3" xr3:uid="{1549E02C-07C4-46DF-B99D-EA21AEE67AEC}" name="LP" dataDxfId="252">
      <calculatedColumnFormula>VLOOKUP(Tabulka38111426323844505662687480[[#This Row],[Tým]],Tabulka17101325313743495561677379[[Tým]:[ ]],2,FALSE)</calculatedColumnFormula>
    </tableColumn>
    <tableColumn id="4" xr3:uid="{AD44BFDF-0F47-4793-882C-90BE0DCC3B0D}" name="PP" dataDxfId="251">
      <calculatedColumnFormula>VLOOKUP(Tabulka38111426323844505662687480[[#This Row],[Tým]],Tabulka17101325313743495561677379[[Tým]:[ ]],3,FALSE)</calculatedColumnFormula>
    </tableColumn>
    <tableColumn id="5" xr3:uid="{680E2F55-90E9-47AE-8EA8-57E46B15904B}" name="Výsledný čas" dataDxfId="250">
      <calculatedColumnFormula>VLOOKUP(Tabulka38111426323844505662687480[[#This Row],[Tým]],Tabulka17101325313743495561677379[[Tým]:[ ]],4,FALSE)</calculatedColumnFormula>
    </tableColumn>
    <tableColumn id="6" xr3:uid="{453DB289-AEA0-4E1D-8BBE-1965D52063C6}" name=" " dataDxfId="249">
      <calculatedColumnFormula>VLOOKUP(Tabulka38111426323844505662687480[[#This Row],[Tým]],Tabulka17101325313743495561677379[[Tým]:[ ]],7,FALSE)</calculatedColumnFormula>
    </tableColumn>
    <tableColumn id="9" xr3:uid="{63F7070D-3BFE-4C8F-AA06-ED198441F4F0}" name="Body" dataDxfId="248">
      <calculatedColumnFormula>IF(Tabulka38111426323844505662687480[[#This Row],[Výsledný čas]]="N",5,IF(Tabulka38111426323844505662687480[[#This Row],[Výsledný čas]]="D",0,IF(Tabulka38111426323844505662687480[[#This Row],[Výsledný čas]]="NEÚČAST",0,Tabulka4[[#Totals],[Týmy muži]]+6-Tabulka38111426323844505662687480[[#This Row],[Umístění]])))</calculatedColumnFormula>
    </tableColumn>
  </tableColumns>
  <tableStyleInfo name="Styl tabulky 1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8BB4327C-D01D-4FC8-9BCC-D1316487243D}" name="Tabulka59121527333945515763697581" displayName="Tabulka59121527333945515763697581" ref="AH3:AL22" totalsRowShown="0" headerRowDxfId="247" dataDxfId="246">
  <autoFilter ref="AH3:AL22" xr:uid="{0A08C00D-A582-4264-A100-7D00EC898DD5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H4:AK20">
    <sortCondition ref="AH3:AH20"/>
  </sortState>
  <tableColumns count="5">
    <tableColumn id="1" xr3:uid="{38B15C7C-8890-4DC7-8845-0E0D44A43800}" name="Umístění" dataDxfId="245">
      <calculatedColumnFormula>_xlfn.RANK.EQ(Tabulka59121527333945515763697581[[#This Row],[Body]],Tabulka59121527333945515763697581[Body],0)</calculatedColumnFormula>
    </tableColumn>
    <tableColumn id="2" xr3:uid="{E08BA136-53FE-48EE-B231-0C77F7F4C2BD}" name="Tým" dataDxfId="244"/>
    <tableColumn id="3" xr3:uid="{1C975D3C-59B0-4D64-B8D9-1349422A127D}" name="Body" dataDxfId="243">
      <calculatedColumnFormula>VLOOKUP(Tabulka59121527333945515763697581[[#This Row],[Tým]],Tabulka38111426323844505662687480[[Tým]:[Body]],6,FALSE)+Tabulka59121527333945515763697581[[#This Row],[ ]]</calculatedColumnFormula>
    </tableColumn>
    <tableColumn id="4" xr3:uid="{B3E236B3-8757-4E9C-A3D1-50D1BF0BCDF5}" name=" " dataDxfId="242">
      <calculatedColumnFormula>VLOOKUP(Tabulka59121527333945515763697581[[#This Row],[Tým]],Tabulka591215273339455157636975[[Tým]:[Body]],2,FALSE)</calculatedColumnFormula>
    </tableColumn>
    <tableColumn id="5" xr3:uid="{D94D05D0-66F0-4D65-8C62-3A13BB2C3902}" name="Sloupec1" dataDxfId="241">
      <calculatedColumnFormula>Tabulka59121527333945515763697581[[#This Row],[Umístění]]</calculatedColumnFormula>
    </tableColumn>
  </tableColumns>
  <tableStyleInfo name="Styl tabulky 1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0105731C-95E6-4334-877B-D8E6576E6977}" name="Tabulka381114228344046525864707682" displayName="Tabulka381114228344046525864707682" ref="Z26:AF36" totalsRowShown="0" headerRowDxfId="240" dataDxfId="239">
  <autoFilter ref="Z26:AF36" xr:uid="{85A432A9-EAED-4601-841B-B8D71BCB493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xmlns:xlrd2="http://schemas.microsoft.com/office/spreadsheetml/2017/richdata2" ref="Z27:AF43">
    <sortCondition ref="Z3:Z20"/>
  </sortState>
  <tableColumns count="7">
    <tableColumn id="1" xr3:uid="{6E1B0CD5-E303-47A3-8315-797A662A3FD2}" name="Umístění" dataDxfId="238">
      <calculatedColumnFormula>IF(Tabulka381114228344046525864707682[[#This Row],[ ]]="NEÚČAST","",IF(OR(Tabulka381114228344046525864707682[Výsledný čas]="N",Tabulka381114228344046525864707682[Výsledný čas]="D"),Uvod!$E$6,_xlfn.RANK.EQ(Tabulka381114228344046525864707682[[#This Row],[ ]],Tabulka381114228344046525864707682[[ ]],1)))</calculatedColumnFormula>
    </tableColumn>
    <tableColumn id="2" xr3:uid="{644260D1-02F3-450C-9F80-4D4AC868726F}" name="Tým" dataDxfId="237"/>
    <tableColumn id="3" xr3:uid="{06E0D54F-756F-4A02-A3D4-C108E509DC64}" name="LP" dataDxfId="236">
      <calculatedColumnFormula>VLOOKUP(Tabulka381114228344046525864707682[[#This Row],[Tým]],Tabulka171013630364248546066727884[[Tým]:[ ]],2,FALSE)</calculatedColumnFormula>
    </tableColumn>
    <tableColumn id="4" xr3:uid="{EF425677-8061-40DE-9A58-4F78C0AC438D}" name="PP" dataDxfId="235">
      <calculatedColumnFormula>VLOOKUP(Tabulka381114228344046525864707682[[#This Row],[Tým]],Tabulka171013630364248546066727884[[Tým]:[ ]],3,FALSE)</calculatedColumnFormula>
    </tableColumn>
    <tableColumn id="5" xr3:uid="{ECE7EA17-7000-4FE8-962A-0C69FAB5B911}" name="Výsledný čas" dataDxfId="234">
      <calculatedColumnFormula>VLOOKUP(Tabulka381114228344046525864707682[[#This Row],[Tým]],Tabulka171013630364248546066727884[[Tým]:[ ]],4,FALSE)</calculatedColumnFormula>
    </tableColumn>
    <tableColumn id="6" xr3:uid="{A36C5CD9-9618-4C64-8678-ABE63B3EFB1B}" name=" " dataDxfId="233">
      <calculatedColumnFormula>VLOOKUP(Tabulka381114228344046525864707682[[#This Row],[Tým]],Tabulka171013630364248546066727884[[Tým]:[ ]],7,FALSE)</calculatedColumnFormula>
    </tableColumn>
    <tableColumn id="9" xr3:uid="{52AC017E-0644-4562-840D-4D4F491D5A88}" name="Body" dataDxfId="232">
      <calculatedColumnFormula>IF(Tabulka381114228344046525864707682[[#This Row],[Výsledný čas]]="N",5,IF(Tabulka381114228344046525864707682[[#This Row],[Výsledný čas]]="D",0,IF(Tabulka381114228344046525864707682[[#This Row],[Výsledný čas]]="NEÚČAST",0,Tabulka8[[#Totals],[Týmy ženy]]+6-Tabulka381114228344046525864707682[[#This Row],[Umístění]])))</calculatedColumnFormula>
    </tableColumn>
  </tableColumns>
  <tableStyleInfo name="Styl tabulky 1 2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8C8E480F-B49D-4132-A29B-D886D4290DF9}" name="Tabulka591215329354147535965717783" displayName="Tabulka591215329354147535965717783" ref="AH26:AL36" totalsRowShown="0" headerRowDxfId="231" dataDxfId="230">
  <autoFilter ref="AH26:AL36" xr:uid="{936496D5-1C85-47AE-BF72-87FD40DB1CAE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H27:AK43">
    <sortCondition ref="AH3:AH20"/>
  </sortState>
  <tableColumns count="5">
    <tableColumn id="1" xr3:uid="{42617B36-DBFD-44B9-AFD9-EF81591B0951}" name="Umístění" dataDxfId="229">
      <calculatedColumnFormula>_xlfn.RANK.EQ(Tabulka591215329354147535965717783[[#This Row],[Body]],Tabulka591215329354147535965717783[Body],0)</calculatedColumnFormula>
    </tableColumn>
    <tableColumn id="2" xr3:uid="{8B3DB132-1760-4FD1-9296-3291F02B80ED}" name="Tým" dataDxfId="228"/>
    <tableColumn id="3" xr3:uid="{0C63D50F-5076-4BFF-BE49-BA5123D749C7}" name="Body" dataDxfId="227">
      <calculatedColumnFormula>VLOOKUP(Tabulka591215329354147535965717783[[#This Row],[Tým]],Tabulka381114228344046525864707682[[Tým]:[Body]],6,FALSE)+Tabulka591215329354147535965717783[[#This Row],[ ]]</calculatedColumnFormula>
    </tableColumn>
    <tableColumn id="4" xr3:uid="{E05A9219-CFFD-4261-B1EF-B9AB31A00326}" name=" " dataDxfId="226">
      <calculatedColumnFormula>VLOOKUP(Tabulka591215329354147535965717783[[#This Row],[Tým]],Tabulka5912153293541475359657177[[Tým]:[Body]],2,FALSE)</calculatedColumnFormula>
    </tableColumn>
    <tableColumn id="5" xr3:uid="{FDFA464C-3C33-405A-B5F5-6FD5F023AF22}" name="Sloupec1" dataDxfId="225">
      <calculatedColumnFormula>Tabulka591215329354147535965717783[[#This Row],[Umístění]]</calculatedColumnFormula>
    </tableColumn>
  </tableColumns>
  <tableStyleInfo name="Styl tabulky 1 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399B374-80D6-45B3-8469-8382AA2C643B}" name="Tabulka1012" displayName="Tabulka1012" ref="B79:S89" totalsRowShown="0" headerRowDxfId="847" dataDxfId="846">
  <autoFilter ref="B79:S89" xr:uid="{D399B374-80D6-45B3-8469-8382AA2C643B}"/>
  <sortState xmlns:xlrd2="http://schemas.microsoft.com/office/spreadsheetml/2017/richdata2" ref="B80:S89">
    <sortCondition ref="S80:S89"/>
  </sortState>
  <tableColumns count="18">
    <tableColumn id="1" xr3:uid="{6ED7ECB7-10D9-403C-A176-E9556DFD297D}" name="Sloupec1" dataDxfId="845"/>
    <tableColumn id="2" xr3:uid="{E9065DFA-E471-4ACF-9A2C-1BEFAFE8ED35}" name="Sloupec2" dataDxfId="844">
      <calculatedColumnFormula>IF('1. k'!P4="","",VLOOKUP(Tabulka1012[[#This Row],[Sloupec1]],Tabulka381114222[[Tým]:[Body]],6,FALSE))</calculatedColumnFormula>
    </tableColumn>
    <tableColumn id="3" xr3:uid="{867D7E16-F333-435F-B6A5-D3942BB9CEEA}" name="Sloupec3" dataDxfId="843">
      <calculatedColumnFormula>IF('2. k'!P4="","",VLOOKUP(Tabulka1012[[#This Row],[Sloupec1]],Tabulka3811142[[Tým]:[Body]],6,FALSE))</calculatedColumnFormula>
    </tableColumn>
    <tableColumn id="4" xr3:uid="{3FABADAD-983D-4169-8F59-C53EB8348463}" name="Sloupec4" dataDxfId="842">
      <calculatedColumnFormula>IF('3. k'!P4="","",VLOOKUP(Tabulka1012[[#This Row],[Sloupec1]],Tabulka381114228[[Tým]:[Body]],6,FALSE))</calculatedColumnFormula>
    </tableColumn>
    <tableColumn id="5" xr3:uid="{5E26C61A-D35C-4C85-B2DE-C698A78FD85C}" name="Sloupec5" dataDxfId="841">
      <calculatedColumnFormula>IF('4. k'!P4="","",VLOOKUP(Tabulka1012[[#This Row],[Sloupec1]],Tabulka38111422834[[Tým]:[Body]],6,FALSE))</calculatedColumnFormula>
    </tableColumn>
    <tableColumn id="6" xr3:uid="{5805A3EE-AABF-4D99-BC68-49C24946B9D5}" name="Sloupec6" dataDxfId="840">
      <calculatedColumnFormula>IF('5. k'!P4="","",VLOOKUP(Tabulka1012[[#This Row],[Sloupec1]],Tabulka3811142283440[[Tým]:[Body]],6,FALSE))</calculatedColumnFormula>
    </tableColumn>
    <tableColumn id="7" xr3:uid="{4A89F8ED-8042-48B2-8AC1-EAE045A59403}" name="Sloupec7" dataDxfId="839">
      <calculatedColumnFormula>IF('6. k'!P4="","",VLOOKUP(Tabulka1012[[#This Row],[Sloupec1]],Tabulka381114228344046[[Tým]:[Body]],6,FALSE))</calculatedColumnFormula>
    </tableColumn>
    <tableColumn id="8" xr3:uid="{4E4BAF16-AEF9-4E79-9729-95C32D47343C}" name="Sloupec8" dataDxfId="838">
      <calculatedColumnFormula>IF('7. k'!P4="","",VLOOKUP(Tabulka1012[[#This Row],[Sloupec1]],Tabulka38111422834404652[[Tým]:[Body]],6,FALSE))</calculatedColumnFormula>
    </tableColumn>
    <tableColumn id="9" xr3:uid="{F73107B4-0BCE-4205-8A99-0A13025CB4D2}" name="Sloupec9" dataDxfId="837">
      <calculatedColumnFormula>IF('8. k'!P4="","",VLOOKUP(Tabulka1012[[#This Row],[Sloupec1]],Tabulka3811142283440465258[[Tým]:[Body]],6,FALSE))</calculatedColumnFormula>
    </tableColumn>
    <tableColumn id="10" xr3:uid="{08D95568-B481-48A0-BFDF-ECE471EA875C}" name="Sloupec10" dataDxfId="836">
      <calculatedColumnFormula>IF('9. k'!P4="","",VLOOKUP(Tabulka1012[[#This Row],[Sloupec1]],Tabulka381114228344046525864[[Tým]:[Body]],6,FALSE))</calculatedColumnFormula>
    </tableColumn>
    <tableColumn id="11" xr3:uid="{59A120D2-FA27-4E16-BD39-650080C8FEDA}" name="Sloupec11" dataDxfId="835">
      <calculatedColumnFormula>IF('10. k'!P4="","",VLOOKUP(Tabulka1012[[#This Row],[Sloupec1]],Tabulka38111422834404652586470[[Tým]:[Body]],6,FALSE))</calculatedColumnFormula>
    </tableColumn>
    <tableColumn id="12" xr3:uid="{56729A5A-7A09-44B0-ADCD-52EC7B3482DF}" name="Sloupec12" dataDxfId="834">
      <calculatedColumnFormula>IF('11. k'!P4="","",VLOOKUP(Tabulka1012[[#This Row],[Sloupec1]],Tabulka3811142283440465258647076[[Tým]:[Body]],6,FALSE))</calculatedColumnFormula>
    </tableColumn>
    <tableColumn id="13" xr3:uid="{15A0908B-2E01-466B-87A9-9BCCDB5AEA21}" name="Sloupec13" dataDxfId="833">
      <calculatedColumnFormula>IF('12. k'!P4="","",VLOOKUP(Tabulka1012[[#This Row],[Sloupec1]],Tabulka381114228344046525864707682[[Tým]:[Body]],6,FALSE))</calculatedColumnFormula>
    </tableColumn>
    <tableColumn id="14" xr3:uid="{ACCD2789-CABC-4D6D-8FD2-9C4BF88A8B28}" name="Sloupec14" dataDxfId="832">
      <calculatedColumnFormula>IF('13. k'!P4="","",VLOOKUP(Tabulka1012[[#This Row],[Sloupec1]],Tabulka38111422834404652586470768288[[Tým]:[Body]],6,FALSE))</calculatedColumnFormula>
    </tableColumn>
    <tableColumn id="15" xr3:uid="{8508BE62-0AC6-4292-AADB-F7CE0F164E6C}" name="Sloupec15" dataDxfId="831">
      <calculatedColumnFormula>IF('14. k'!$P$4="","",VLOOKUP(Tabulka1012[[#This Row],[Sloupec1]],Tabulka3811142283440465258647076828894[[Tým]:[Body]],6,FALSE))</calculatedColumnFormula>
    </tableColumn>
    <tableColumn id="16" xr3:uid="{21D6C630-9B15-431E-89FD-39ADD62FBFB6}" name="Sloupec16" dataDxfId="830">
      <calculatedColumnFormula>IF('15. k'!P4="","",VLOOKUP(Tabulka1012[[#This Row],[Sloupec1]],Tabulka3811142283440465258647076828894100[[Tým]:[Body]],6,FALSE))</calculatedColumnFormula>
    </tableColumn>
    <tableColumn id="17" xr3:uid="{BE98CE22-0EB1-4CCB-B76E-F2AFF8CB9109}" name="Sloupec17" dataDxfId="829">
      <calculatedColumnFormula>SUM(Tabulka1012[[#This Row],[Sloupec2]:[Sloupec16]])</calculatedColumnFormula>
    </tableColumn>
    <tableColumn id="18" xr3:uid="{19AA86FC-A355-4CB2-BFB1-7E3788F16E41}" name="Sloupec18" dataDxfId="828">
      <calculatedColumnFormula>_xlfn.RANK.EQ(Tabulka1012[[#This Row],[Sloupec17]],Tabulka1012[Sloupec17],0)</calculatedColumnFormula>
    </tableColumn>
  </tableColumns>
  <tableStyleInfo name="Styl tabulky 1 2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CDABD935-9613-40F4-B34C-F54A1E3ED113}" name="Tabulka171013630364248546066727884" displayName="Tabulka171013630364248546066727884" ref="N3:V12" totalsRowShown="0" headerRowDxfId="224" dataDxfId="223">
  <autoFilter ref="N3:V12" xr:uid="{3B6B0F44-04D5-4BDE-9432-A266A6F818E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N4:V53">
    <sortCondition ref="O3:O53"/>
  </sortState>
  <tableColumns count="9">
    <tableColumn id="1" xr3:uid="{DE77BEE0-092E-43FF-9CA1-7BA9A55082A9}" name="Start. Poz." dataDxfId="222"/>
    <tableColumn id="2" xr3:uid="{7DA5EB68-7ED7-4C56-9FB1-641DB56A4A5F}" name="Umístění" dataDxfId="221">
      <calculatedColumnFormula>IF(Tabulka171013630364248546066727884[[#This Row],[ ]]="","",IF(Tabulka171013630364248546066727884[[#This Row],[ ]]="NEÚČAST","",IF(OR(Tabulka171013630364248546066727884[Výsledný čas]="N",Tabulka171013630364248546066727884[Výsledný čas]="D"),$X$4-$X$5,_xlfn.RANK.EQ(Tabulka171013630364248546066727884[[#This Row],[ ]],Tabulka171013630364248546066727884[[ ]],1))))</calculatedColumnFormula>
    </tableColumn>
    <tableColumn id="3" xr3:uid="{0382CC43-2F41-43B9-B7AC-15CAF3A56D64}" name="Tým" dataDxfId="220"/>
    <tableColumn id="4" xr3:uid="{6D1A8531-8F89-42C0-96E3-C15A90DA8DAF}" name="LP" dataDxfId="219"/>
    <tableColumn id="5" xr3:uid="{1612D403-7516-42D3-9E52-E39E6D38277E}" name="PP" dataDxfId="218"/>
    <tableColumn id="6" xr3:uid="{CC60CF4D-0076-40AF-BE6A-5F9100C290C4}" name="Výsledný čas" dataDxfId="217">
      <calculatedColumnFormula>IF(OR(Tabulka171013630364248546066727884[[#This Row],[LP]]="N",Tabulka171013630364248546066727884[[#This Row],[PP]]="N"),"N",IF(OR(Tabulka171013630364248546066727884[[#This Row],[LP]]="D",Tabulka171013630364248546066727884[[#This Row],[PP]]="D"),"D",IF(OR(Tabulka171013630364248546066727884[[#This Row],[LP]]="NEÚČAST",Tabulka171013630364248546066727884[[#This Row],[PP]]="NEÚČAST"),"NEÚČAST",IF(OR(Tabulka171013630364248546066727884[[#This Row],[LP]]="",Tabulka171013630364248546066727884[[#This Row],[PP]]=""),"",MAX(Tabulka171013630364248546066727884[[#This Row],[LP]:[PP]])))))</calculatedColumnFormula>
    </tableColumn>
    <tableColumn id="8" xr3:uid="{FE078A90-AA0F-47A9-B346-7DBB25F3249A}" name="Sloupec1" dataDxfId="216">
      <calculatedColumnFormula>COUNTIF(Tabulka171013630364248546066727884[[#This Row],[Tým]],"*")</calculatedColumnFormula>
    </tableColumn>
    <tableColumn id="9" xr3:uid="{F196E4C5-889D-47A3-9686-A12FF1889A75}" name="Sloupec2" dataDxfId="215">
      <calculatedColumnFormula>COUNTIF(Tabulka171013630364248546066727884[[#This Row],[Výsledný čas]],"NEÚČAST")</calculatedColumnFormula>
    </tableColumn>
    <tableColumn id="7" xr3:uid="{2941A008-34A4-4F94-99B1-D270EEA92DD2}" name=" " dataDxfId="214">
      <calculatedColumnFormula>IF(Tabulka171013630364248546066727884[[#This Row],[Výsledný čas]]="N",998,IF(Tabulka171013630364248546066727884[[#This Row],[Výsledný čas]]="D",998,IF(Tabulka171013630364248546066727884[[#This Row],[Výsledný čas]]="","",Tabulka171013630364248546066727884[[#This Row],[Výsledný čas]])))</calculatedColumnFormula>
    </tableColumn>
  </tableColumns>
  <tableStyleInfo name="Styl tabulky 1 2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840B8B60-F6C1-41F5-A0E3-236F21D71B96}" name="Tabulka1710132531374349556167737985" displayName="Tabulka1710132531374349556167737985" ref="B3:J6" totalsRowShown="0" headerRowDxfId="213" dataDxfId="212">
  <autoFilter ref="B3:J6" xr:uid="{62D044D3-D427-4706-A77D-7F311383422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4:J6">
    <sortCondition ref="C3:C6"/>
  </sortState>
  <tableColumns count="9">
    <tableColumn id="1" xr3:uid="{7C945685-219F-408E-8452-E64F081FF632}" name="Start. Poz." dataDxfId="211"/>
    <tableColumn id="2" xr3:uid="{299A5C4A-29E1-43F0-A9BD-8F4FEABDDE8E}" name="Umístění" dataDxfId="210">
      <calculatedColumnFormula>IF(Tabulka1710132531374349556167737985[[#This Row],[ ]]="","",IF(Tabulka1710132531374349556167737985[[#This Row],[ ]]="NEÚČAST","",IF(OR(Tabulka1710132531374349556167737985[Výsledný čas]="N",Tabulka1710132531374349556167737985[Výsledný čas]="D"),$L$4-$L$5,_xlfn.RANK.EQ(Tabulka1710132531374349556167737985[[#This Row],[ ]],Tabulka1710132531374349556167737985[[ ]],1))))</calculatedColumnFormula>
    </tableColumn>
    <tableColumn id="3" xr3:uid="{765C4251-8E00-4B7B-BF95-9FDE5FEF2ABD}" name="Tým" dataDxfId="209"/>
    <tableColumn id="4" xr3:uid="{2E7A9EDC-6107-4FCE-8E2B-748AD5AA5DF3}" name="LP" dataDxfId="208"/>
    <tableColumn id="5" xr3:uid="{FC51F943-B430-4690-98AD-3C524D6B28D9}" name="PP" dataDxfId="207"/>
    <tableColumn id="6" xr3:uid="{D58DE1B4-4C20-4369-B29B-23610B898EB7}" name="Výsledný čas" dataDxfId="206">
      <calculatedColumnFormula>IF(OR(Tabulka1710132531374349556167737985[[#This Row],[LP]]="N",Tabulka1710132531374349556167737985[[#This Row],[PP]]="N"),"N",IF(OR(Tabulka1710132531374349556167737985[[#This Row],[LP]]="D",Tabulka1710132531374349556167737985[[#This Row],[PP]]="D"),"D",IF(OR(Tabulka1710132531374349556167737985[[#This Row],[LP]]="NEÚČAST",Tabulka1710132531374349556167737985[[#This Row],[PP]]="NEÚČAST"),"NEÚČAST",IF(OR(Tabulka1710132531374349556167737985[[#This Row],[LP]]="",Tabulka1710132531374349556167737985[[#This Row],[PP]]=""),"",MAX(Tabulka1710132531374349556167737985[[#This Row],[LP]:[PP]])))))</calculatedColumnFormula>
    </tableColumn>
    <tableColumn id="8" xr3:uid="{6AABCF13-4A56-4A92-8A1B-7492E388F526}" name="Sloupec1" dataDxfId="205">
      <calculatedColumnFormula>COUNTIF(Tabulka1710132531374349556167737985[[#This Row],[Tým]],"*")</calculatedColumnFormula>
    </tableColumn>
    <tableColumn id="9" xr3:uid="{09F306BF-97C2-457B-A6EB-EA86D0E1A251}" name="Sloupec2" dataDxfId="204">
      <calculatedColumnFormula>COUNTIF(Tabulka1710132531374349556167737985[[#This Row],[Výsledný čas]],"NEÚČAST")</calculatedColumnFormula>
    </tableColumn>
    <tableColumn id="7" xr3:uid="{80229B64-3634-4114-B190-4B6953853477}" name=" " dataDxfId="203">
      <calculatedColumnFormula>IF(Tabulka1710132531374349556167737985[[#This Row],[Výsledný čas]]="N",998,IF(Tabulka1710132531374349556167737985[[#This Row],[Výsledný čas]]="D",998,IF(Tabulka1710132531374349556167737985[[#This Row],[Výsledný čas]]="","",Tabulka1710132531374349556167737985[[#This Row],[Výsledný čas]])))</calculatedColumnFormula>
    </tableColumn>
  </tableColumns>
  <tableStyleInfo name="Styl tabulky 1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7961B559-1FEC-42A5-878B-A69912902117}" name="Tabulka3811142632384450566268748086" displayName="Tabulka3811142632384450566268748086" ref="Z3:AF20" totalsRowShown="0" headerRowDxfId="202" dataDxfId="201">
  <autoFilter ref="Z3:AF20" xr:uid="{083BB06C-1560-470E-A308-0377A133B66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xmlns:xlrd2="http://schemas.microsoft.com/office/spreadsheetml/2017/richdata2" ref="Z4:AF20">
    <sortCondition ref="Z3:Z20"/>
  </sortState>
  <tableColumns count="7">
    <tableColumn id="1" xr3:uid="{8D0D0F38-F8C2-4FAE-ADD8-FB262BA933B2}" name="Umístění" dataDxfId="200">
      <calculatedColumnFormula>IF(OR(Tabulka3811142632384450566268748086[Výsledný čas]="N",Tabulka3811142632384450566268748086[Výsledný čas]="D",Tabulka3811142632384450566268748086[Výsledný čas]="NEÚČAST"),Uvod!$E$4,_xlfn.RANK.EQ(Tabulka3811142632384450566268748086[[#This Row],[ ]],Tabulka3811142632384450566268748086[[ ]],1))</calculatedColumnFormula>
    </tableColumn>
    <tableColumn id="2" xr3:uid="{BD241FAF-D9D8-4FC7-82C1-4A247900F566}" name="Tým" dataDxfId="199"/>
    <tableColumn id="3" xr3:uid="{B9F46491-D51C-40E3-8196-EA2CB9313031}" name="LP" dataDxfId="198">
      <calculatedColumnFormula>VLOOKUP(Tabulka3811142632384450566268748086[[#This Row],[Tým]],Tabulka1710132531374349556167737985[[Tým]:[ ]],2,FALSE)</calculatedColumnFormula>
    </tableColumn>
    <tableColumn id="4" xr3:uid="{7A1F8741-E813-4D20-966E-1AA331CF3216}" name="PP" dataDxfId="197">
      <calculatedColumnFormula>VLOOKUP(Tabulka3811142632384450566268748086[[#This Row],[Tým]],Tabulka1710132531374349556167737985[[Tým]:[ ]],3,FALSE)</calculatedColumnFormula>
    </tableColumn>
    <tableColumn id="5" xr3:uid="{3944940F-0627-47CB-9E2F-C1D086F091E2}" name="Výsledný čas" dataDxfId="196">
      <calculatedColumnFormula>VLOOKUP(Tabulka3811142632384450566268748086[[#This Row],[Tým]],Tabulka1710132531374349556167737985[[Tým]:[ ]],4,FALSE)</calculatedColumnFormula>
    </tableColumn>
    <tableColumn id="6" xr3:uid="{10C20120-86CA-4B1A-8128-2C8AC71D033E}" name=" " dataDxfId="195">
      <calculatedColumnFormula>VLOOKUP(Tabulka3811142632384450566268748086[[#This Row],[Tým]],Tabulka1710132531374349556167737985[[Tým]:[ ]],7,FALSE)</calculatedColumnFormula>
    </tableColumn>
    <tableColumn id="9" xr3:uid="{722C9838-D2F7-4FFD-A9CE-82230A120A26}" name="Body" dataDxfId="194">
      <calculatedColumnFormula>IF(Tabulka3811142632384450566268748086[[#This Row],[Výsledný čas]]="N",5,IF(Tabulka3811142632384450566268748086[[#This Row],[Výsledný čas]]="D",0,IF(Tabulka3811142632384450566268748086[[#This Row],[Výsledný čas]]="NEÚČAST",0,Tabulka4[[#Totals],[Týmy muži]]+6-Tabulka3811142632384450566268748086[[#This Row],[Umístění]])))</calculatedColumnFormula>
    </tableColumn>
  </tableColumns>
  <tableStyleInfo name="Styl tabulky 1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5FDAC240-6423-4693-9980-8EC9BA948D28}" name="Tabulka5912152733394551576369758187" displayName="Tabulka5912152733394551576369758187" ref="AH3:AL20" totalsRowShown="0" headerRowDxfId="193" dataDxfId="192">
  <autoFilter ref="AH3:AL20" xr:uid="{0A08C00D-A582-4264-A100-7D00EC898DD5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H4:AK20">
    <sortCondition ref="AH3:AH20"/>
  </sortState>
  <tableColumns count="5">
    <tableColumn id="1" xr3:uid="{2F15DC73-D809-4BF7-941F-1E184F858527}" name="Umístění" dataDxfId="191">
      <calculatedColumnFormula>_xlfn.RANK.EQ(Tabulka5912152733394551576369758187[[#This Row],[Body]],Tabulka5912152733394551576369758187[Body],0)</calculatedColumnFormula>
    </tableColumn>
    <tableColumn id="2" xr3:uid="{0DD97F5E-8740-4A4C-A1BF-4E365F81CA1B}" name="Tým" dataDxfId="190"/>
    <tableColumn id="3" xr3:uid="{838DA6CA-A848-486E-8852-3B092ADC5142}" name="Body" dataDxfId="189">
      <calculatedColumnFormula>VLOOKUP(Tabulka5912152733394551576369758187[[#This Row],[Tým]],Tabulka3811142632384450566268748086[[Tým]:[Body]],6,FALSE)+Tabulka5912152733394551576369758187[[#This Row],[ ]]</calculatedColumnFormula>
    </tableColumn>
    <tableColumn id="4" xr3:uid="{C0A14E0B-8F1E-401A-B87A-13B58471903B}" name=" " dataDxfId="188">
      <calculatedColumnFormula>VLOOKUP(Tabulka5912152733394551576369758187[[#This Row],[Tým]],Tabulka59121527333945515763697581[[Tým]:[Body]],2,FALSE)</calculatedColumnFormula>
    </tableColumn>
    <tableColumn id="5" xr3:uid="{E7097213-0A0A-4B93-8ED0-27E02AF6EEA8}" name="Sloupec1" dataDxfId="187">
      <calculatedColumnFormula>Tabulka5912152733394551576369758187[[#This Row],[Umístění]]</calculatedColumnFormula>
    </tableColumn>
  </tableColumns>
  <tableStyleInfo name="Styl tabulky 1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883E3A71-CF5B-48D5-896C-20908DDD9A9C}" name="Tabulka38111422834404652586470768288" displayName="Tabulka38111422834404652586470768288" ref="Z24:AF28" totalsRowShown="0" headerRowDxfId="186" dataDxfId="185">
  <autoFilter ref="Z24:AF28" xr:uid="{85A432A9-EAED-4601-841B-B8D71BCB493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xmlns:xlrd2="http://schemas.microsoft.com/office/spreadsheetml/2017/richdata2" ref="Z25:AF41">
    <sortCondition ref="Z3:Z20"/>
  </sortState>
  <tableColumns count="7">
    <tableColumn id="1" xr3:uid="{2B608B65-70B0-4041-B298-C4A601461BBC}" name="Umístění" dataDxfId="184">
      <calculatedColumnFormula>IF(OR(Tabulka38111422834404652586470768288[Výsledný čas]="N",Tabulka38111422834404652586470768288[Výsledný čas]="D",Tabulka38111422834404652586470768288[Výsledný čas]="NEÚČAST"),Uvod!$E$6,_xlfn.RANK.EQ(Tabulka38111422834404652586470768288[[#This Row],[ ]],Tabulka38111422834404652586470768288[[ ]],1))</calculatedColumnFormula>
    </tableColumn>
    <tableColumn id="2" xr3:uid="{6525F066-15CD-4D7A-8635-CDC6FF4049FA}" name="Tým" dataDxfId="183"/>
    <tableColumn id="3" xr3:uid="{69CBE978-7B30-421C-BB08-B8DF18FE4D62}" name="LP" dataDxfId="182">
      <calculatedColumnFormula>VLOOKUP(Tabulka38111422834404652586470768288[[#This Row],[Tým]],Tabulka17101363036424854606672788490[[Tým]:[ ]],2,FALSE)</calculatedColumnFormula>
    </tableColumn>
    <tableColumn id="4" xr3:uid="{FDDB413D-0C77-43F2-B3EE-E35CEA869962}" name="PP" dataDxfId="181">
      <calculatedColumnFormula>VLOOKUP(Tabulka38111422834404652586470768288[[#This Row],[Tým]],Tabulka17101363036424854606672788490[[Tým]:[ ]],3,FALSE)</calculatedColumnFormula>
    </tableColumn>
    <tableColumn id="5" xr3:uid="{5547F024-9BEF-4668-98FB-5576B5CEE8FA}" name="Výsledný čas" dataDxfId="180">
      <calculatedColumnFormula>VLOOKUP(Tabulka38111422834404652586470768288[[#This Row],[Tým]],Tabulka17101363036424854606672788490[[Tým]:[ ]],4,FALSE)</calculatedColumnFormula>
    </tableColumn>
    <tableColumn id="6" xr3:uid="{7F1478B8-98F4-4E28-A2F1-423F83E65171}" name=" " dataDxfId="179">
      <calculatedColumnFormula>VLOOKUP(Tabulka38111422834404652586470768288[[#This Row],[Tým]],Tabulka17101363036424854606672788490[[Tým]:[ ]],7,FALSE)</calculatedColumnFormula>
    </tableColumn>
    <tableColumn id="9" xr3:uid="{32BAA677-7A01-4B8E-AE91-57AEE7C7D5C0}" name="Body" dataDxfId="178">
      <calculatedColumnFormula>IF(Tabulka38111422834404652586470768288[[#This Row],[Výsledný čas]]="N",5,IF(Tabulka38111422834404652586470768288[[#This Row],[Výsledný čas]]="D",0,IF(Tabulka38111422834404652586470768288[[#This Row],[Výsledný čas]]="NEÚČAST",0,Tabulka8[[#Totals],[Týmy ženy]]+6-Tabulka38111422834404652586470768288[[#This Row],[Umístění]])))</calculatedColumnFormula>
    </tableColumn>
  </tableColumns>
  <tableStyleInfo name="Styl tabulky 1 2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FEB45503-0E99-47AD-B963-BB95635982F0}" name="Tabulka59121532935414753596571778389" displayName="Tabulka59121532935414753596571778389" ref="AH24:AL28" totalsRowShown="0" headerRowDxfId="177" dataDxfId="176">
  <autoFilter ref="AH24:AL28" xr:uid="{936496D5-1C85-47AE-BF72-87FD40DB1CAE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H25:AK41">
    <sortCondition ref="AH3:AH20"/>
  </sortState>
  <tableColumns count="5">
    <tableColumn id="1" xr3:uid="{CD5C7D10-063D-4724-82A3-80CFD5F237ED}" name="Umístění" dataDxfId="175">
      <calculatedColumnFormula>_xlfn.RANK.EQ(Tabulka59121532935414753596571778389[[#This Row],[Body]],Tabulka59121532935414753596571778389[Body],0)</calculatedColumnFormula>
    </tableColumn>
    <tableColumn id="2" xr3:uid="{512C352D-7DB8-45F2-BCFA-A67DD98EF7D2}" name="Tým" dataDxfId="174"/>
    <tableColumn id="3" xr3:uid="{675353E6-94F3-4326-BC2C-F020BF27360F}" name="Body" dataDxfId="173">
      <calculatedColumnFormula>VLOOKUP(Tabulka59121532935414753596571778389[[#This Row],[Tým]],Tabulka38111422834404652586470768288[[Tým]:[Body]],6,FALSE)+Tabulka59121532935414753596571778389[[#This Row],[ ]]</calculatedColumnFormula>
    </tableColumn>
    <tableColumn id="4" xr3:uid="{CC29BA7A-E5F2-4F13-BED8-35DCC9C4D86B}" name=" " dataDxfId="172">
      <calculatedColumnFormula>VLOOKUP(Tabulka59121532935414753596571778389[[#This Row],[Tým]],Tabulka591215329354147535965717783[[Tým]:[Body]],2,FALSE)</calculatedColumnFormula>
    </tableColumn>
    <tableColumn id="5" xr3:uid="{5F270006-AF78-4550-B775-FAB061803CE6}" name="Sloupec1" dataDxfId="171">
      <calculatedColumnFormula>Tabulka59121532935414753596571778389[[#This Row],[Umístění]]</calculatedColumnFormula>
    </tableColumn>
  </tableColumns>
  <tableStyleInfo name="Styl tabulky 1 2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7D968EEF-07A3-4AC8-9C61-C5EFF65294F3}" name="Tabulka17101363036424854606672788490" displayName="Tabulka17101363036424854606672788490" ref="N3:V11" totalsRowShown="0" headerRowDxfId="170" dataDxfId="169">
  <autoFilter ref="N3:V11" xr:uid="{3B6B0F44-04D5-4BDE-9432-A266A6F818E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N4:V11">
    <sortCondition ref="O3:O11"/>
  </sortState>
  <tableColumns count="9">
    <tableColumn id="1" xr3:uid="{351F7321-4FEB-4FFD-823F-C4930D54CA88}" name="Start. Poz." dataDxfId="168"/>
    <tableColumn id="2" xr3:uid="{379B291C-F8CE-467F-B030-0454E6C30B07}" name="Umístění" dataDxfId="167">
      <calculatedColumnFormula>IF(Tabulka17101363036424854606672788490[[#This Row],[ ]]="","",IF(Tabulka17101363036424854606672788490[[#This Row],[ ]]="NEÚČAST","",IF(OR(Tabulka17101363036424854606672788490[Výsledný čas]="N",Tabulka17101363036424854606672788490[Výsledný čas]="D"),$X$4-$X$5,_xlfn.RANK.EQ(Tabulka17101363036424854606672788490[[#This Row],[ ]],Tabulka17101363036424854606672788490[[ ]],1))))</calculatedColumnFormula>
    </tableColumn>
    <tableColumn id="3" xr3:uid="{4189FF1B-C25A-409F-8D15-493D97565349}" name="Tým" dataDxfId="166"/>
    <tableColumn id="4" xr3:uid="{9C64A2F6-0D60-4C0D-A3CF-48A4A5619FD1}" name="LP" dataDxfId="165"/>
    <tableColumn id="5" xr3:uid="{3371851E-BB02-46A0-A319-DAF550563409}" name="PP" dataDxfId="164"/>
    <tableColumn id="6" xr3:uid="{2C59CBD7-3A59-4922-AF02-1E32322F456A}" name="Výsledný čas" dataDxfId="163">
      <calculatedColumnFormula>IF(OR(Tabulka17101363036424854606672788490[[#This Row],[LP]]="N",Tabulka17101363036424854606672788490[[#This Row],[PP]]="N"),"N",IF(OR(Tabulka17101363036424854606672788490[[#This Row],[LP]]="D",Tabulka17101363036424854606672788490[[#This Row],[PP]]="D"),"D",IF(OR(Tabulka17101363036424854606672788490[[#This Row],[LP]]="NEÚČAST",Tabulka17101363036424854606672788490[[#This Row],[PP]]="NEÚČAST"),"NEÚČAST",IF(OR(Tabulka17101363036424854606672788490[[#This Row],[LP]]="",Tabulka17101363036424854606672788490[[#This Row],[PP]]=""),"",MAX(Tabulka17101363036424854606672788490[[#This Row],[LP]:[PP]])))))</calculatedColumnFormula>
    </tableColumn>
    <tableColumn id="8" xr3:uid="{EA530BDE-03C7-42B7-A569-6141940507EB}" name="Sloupec1" dataDxfId="162">
      <calculatedColumnFormula>COUNTIF(Tabulka17101363036424854606672788490[[#This Row],[Tým]],"*")</calculatedColumnFormula>
    </tableColumn>
    <tableColumn id="9" xr3:uid="{42686D0D-BE7E-433F-B392-2BEE68F05C16}" name="Sloupec2" dataDxfId="161">
      <calculatedColumnFormula>COUNTIF(Tabulka17101363036424854606672788490[[#This Row],[Výsledný čas]],"NEÚČAST")</calculatedColumnFormula>
    </tableColumn>
    <tableColumn id="7" xr3:uid="{E866429A-F851-48E7-ADC1-FEFDD4D4D397}" name=" " dataDxfId="160">
      <calculatedColumnFormula>IF(Tabulka17101363036424854606672788490[[#This Row],[Výsledný čas]]="N",998,IF(Tabulka17101363036424854606672788490[[#This Row],[Výsledný čas]]="D",998,IF(Tabulka17101363036424854606672788490[[#This Row],[Výsledný čas]]="","",Tabulka17101363036424854606672788490[[#This Row],[Výsledný čas]])))</calculatedColumnFormula>
    </tableColumn>
  </tableColumns>
  <tableStyleInfo name="Styl tabulky 1 2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74D0B45C-80CC-4F45-8193-539DCABC6F2A}" name="Tabulka171013253137434955616773798591" displayName="Tabulka171013253137434955616773798591" ref="B3:J10" totalsRowShown="0" headerRowDxfId="159" dataDxfId="158">
  <autoFilter ref="B3:J10" xr:uid="{62D044D3-D427-4706-A77D-7F311383422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4:J10">
    <sortCondition ref="C3:C10"/>
  </sortState>
  <tableColumns count="9">
    <tableColumn id="1" xr3:uid="{589897CF-1815-496B-A4FB-C903E83D685C}" name="Start. Poz." dataDxfId="157"/>
    <tableColumn id="2" xr3:uid="{C2311CD4-CBA6-4142-AE75-7BAF02822961}" name="Umístění" dataDxfId="156">
      <calculatedColumnFormula>IF(Tabulka171013253137434955616773798591[[#This Row],[ ]]="","",IF(Tabulka171013253137434955616773798591[[#This Row],[ ]]="NEÚČAST","",IF(OR(Tabulka171013253137434955616773798591[Výsledný čas]="N",Tabulka171013253137434955616773798591[Výsledný čas]="D"),$L$4-$L$5,_xlfn.RANK.EQ(Tabulka171013253137434955616773798591[[#This Row],[ ]],Tabulka171013253137434955616773798591[[ ]],1))))</calculatedColumnFormula>
    </tableColumn>
    <tableColumn id="3" xr3:uid="{20F31DEE-4606-4868-861E-95F2EA80C1E7}" name="Tým" dataDxfId="155"/>
    <tableColumn id="4" xr3:uid="{2CD27AE5-3E90-43B0-A652-BDE7B48941B2}" name="LP" dataDxfId="154"/>
    <tableColumn id="5" xr3:uid="{B823DCD2-F698-4256-B1F0-7BEB8D05FDAE}" name="PP" dataDxfId="153"/>
    <tableColumn id="6" xr3:uid="{799A66E2-F954-4D0D-9EFE-95AABC7D8F97}" name="Výsledný čas" dataDxfId="152">
      <calculatedColumnFormula>IF(OR(Tabulka171013253137434955616773798591[[#This Row],[LP]]="N",Tabulka171013253137434955616773798591[[#This Row],[PP]]="N"),"N",IF(OR(Tabulka171013253137434955616773798591[[#This Row],[LP]]="D",Tabulka171013253137434955616773798591[[#This Row],[PP]]="D"),"D",IF(OR(Tabulka171013253137434955616773798591[[#This Row],[LP]]="NEÚČAST",Tabulka171013253137434955616773798591[[#This Row],[PP]]="NEÚČAST"),"NEÚČAST",IF(OR(Tabulka171013253137434955616773798591[[#This Row],[LP]]="",Tabulka171013253137434955616773798591[[#This Row],[PP]]=""),"",MAX(Tabulka171013253137434955616773798591[[#This Row],[LP]:[PP]])))))</calculatedColumnFormula>
    </tableColumn>
    <tableColumn id="8" xr3:uid="{35045B85-0021-4CB1-86B8-359A1D5E7929}" name="Sloupec1" dataDxfId="151">
      <calculatedColumnFormula>COUNTIF(Tabulka171013253137434955616773798591[[#This Row],[Tým]],"*")</calculatedColumnFormula>
    </tableColumn>
    <tableColumn id="9" xr3:uid="{DF5189F6-AFF5-4FE1-B2B7-65A499DFA6EB}" name="Sloupec2" dataDxfId="150">
      <calculatedColumnFormula>COUNTIF(Tabulka171013253137434955616773798591[[#This Row],[Výsledný čas]],"NEÚČAST")</calculatedColumnFormula>
    </tableColumn>
    <tableColumn id="7" xr3:uid="{DCAFEFF0-B43F-43A5-8BFE-CECD9000C8C7}" name=" " dataDxfId="149">
      <calculatedColumnFormula>IF(Tabulka171013253137434955616773798591[[#This Row],[Výsledný čas]]="N",998,IF(Tabulka171013253137434955616773798591[[#This Row],[Výsledný čas]]="D",998,IF(Tabulka171013253137434955616773798591[[#This Row],[Výsledný čas]]="","",Tabulka171013253137434955616773798591[[#This Row],[Výsledný čas]])))</calculatedColumnFormula>
    </tableColumn>
  </tableColumns>
  <tableStyleInfo name="Styl tabulky 1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1D5D76E4-4E20-4990-A681-7E2DC8101106}" name="Tabulka381114263238445056626874808692" displayName="Tabulka381114263238445056626874808692" ref="Z3:AF20" totalsRowShown="0" headerRowDxfId="148" dataDxfId="147">
  <autoFilter ref="Z3:AF20" xr:uid="{083BB06C-1560-470E-A308-0377A133B66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xmlns:xlrd2="http://schemas.microsoft.com/office/spreadsheetml/2017/richdata2" ref="Z4:AF20">
    <sortCondition ref="Z3:Z20"/>
  </sortState>
  <tableColumns count="7">
    <tableColumn id="1" xr3:uid="{E2934F9D-5FD3-4749-ACD0-0170E3C8BD05}" name="Umístění" dataDxfId="146">
      <calculatedColumnFormula>IF(OR(Tabulka381114263238445056626874808692[Výsledný čas]="N",Tabulka381114263238445056626874808692[Výsledný čas]="D",Tabulka381114263238445056626874808692[Výsledný čas]="NEÚČAST"),Uvod!$E$4,_xlfn.RANK.EQ(Tabulka381114263238445056626874808692[[#This Row],[ ]],Tabulka381114263238445056626874808692[[ ]],1))</calculatedColumnFormula>
    </tableColumn>
    <tableColumn id="2" xr3:uid="{03C9C6ED-6759-4F44-944C-A4AF7FC69710}" name="Tým" dataDxfId="145"/>
    <tableColumn id="3" xr3:uid="{62F5894B-A7E2-42BB-88A2-1B419689749D}" name="LP" dataDxfId="144">
      <calculatedColumnFormula>VLOOKUP(Tabulka381114263238445056626874808692[[#This Row],[Tým]],Tabulka171013253137434955616773798591[[Tým]:[ ]],2,FALSE)</calculatedColumnFormula>
    </tableColumn>
    <tableColumn id="4" xr3:uid="{D995127B-9CE1-48F7-8B6B-4EAB1D571677}" name="PP" dataDxfId="143">
      <calculatedColumnFormula>VLOOKUP(Tabulka381114263238445056626874808692[[#This Row],[Tým]],Tabulka171013253137434955616773798591[[Tým]:[ ]],3,FALSE)</calculatedColumnFormula>
    </tableColumn>
    <tableColumn id="5" xr3:uid="{57BD40DB-0881-4531-B21D-EA41216F73E7}" name="Výsledný čas" dataDxfId="142">
      <calculatedColumnFormula>VLOOKUP(Tabulka381114263238445056626874808692[[#This Row],[Tým]],Tabulka171013253137434955616773798591[[Tým]:[ ]],4,FALSE)</calculatedColumnFormula>
    </tableColumn>
    <tableColumn id="6" xr3:uid="{213E5AB1-ED62-40BC-8848-F16B4FAE150F}" name=" " dataDxfId="141">
      <calculatedColumnFormula>VLOOKUP(Tabulka381114263238445056626874808692[[#This Row],[Tým]],Tabulka171013253137434955616773798591[[Tým]:[ ]],7,FALSE)</calculatedColumnFormula>
    </tableColumn>
    <tableColumn id="9" xr3:uid="{89D3D0F4-7A31-47CD-894A-920E1863648A}" name="Body" dataDxfId="140">
      <calculatedColumnFormula>IF(Tabulka381114263238445056626874808692[[#This Row],[Výsledný čas]]="N",5,IF(Tabulka381114263238445056626874808692[[#This Row],[Výsledný čas]]="D",0,IF(Tabulka381114263238445056626874808692[[#This Row],[Výsledný čas]]="NEÚČAST",0,Tabulka4[[#Totals],[Týmy muži]]+6-Tabulka381114263238445056626874808692[[#This Row],[Umístění]])))</calculatedColumnFormula>
    </tableColumn>
  </tableColumns>
  <tableStyleInfo name="Styl tabulky 1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33118318-CC26-480D-9047-69009B94EBB0}" name="Tabulka591215273339455157636975818793" displayName="Tabulka591215273339455157636975818793" ref="AH3:AL20" totalsRowShown="0" headerRowDxfId="139" dataDxfId="138">
  <autoFilter ref="AH3:AL20" xr:uid="{0A08C00D-A582-4264-A100-7D00EC898DD5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H4:AK20">
    <sortCondition ref="AH3:AH20"/>
  </sortState>
  <tableColumns count="5">
    <tableColumn id="1" xr3:uid="{72E75FFB-B394-407D-AD60-48D88DCC9326}" name="Umístění" dataDxfId="137">
      <calculatedColumnFormula>_xlfn.RANK.EQ(Tabulka591215273339455157636975818793[[#This Row],[Body]],Tabulka591215273339455157636975818793[Body],0)</calculatedColumnFormula>
    </tableColumn>
    <tableColumn id="2" xr3:uid="{B3AABC98-606E-4797-8CF0-1B12876ABA51}" name="Tým" dataDxfId="136"/>
    <tableColumn id="3" xr3:uid="{96EA2ED7-C72A-4A1B-AA9B-2CE27A916F36}" name="Body" dataDxfId="135">
      <calculatedColumnFormula>VLOOKUP(Tabulka591215273339455157636975818793[[#This Row],[Tým]],Tabulka381114263238445056626874808692[[Tým]:[Body]],6,FALSE)+Tabulka591215273339455157636975818793[[#This Row],[ ]]</calculatedColumnFormula>
    </tableColumn>
    <tableColumn id="4" xr3:uid="{67541098-FF1C-488F-8FD6-FFD28B299BA3}" name=" " dataDxfId="134">
      <calculatedColumnFormula>VLOOKUP(Tabulka591215273339455157636975818793[[#This Row],[Tým]],Tabulka5912152733394551576369758187[[Tým]:[Body]],2,FALSE)</calculatedColumnFormula>
    </tableColumn>
    <tableColumn id="5" xr3:uid="{3CE2E72F-C857-4A70-9066-DE2D9310F572}" name="Sloupec1" dataDxfId="133">
      <calculatedColumnFormula>Tabulka591215273339455157636975818793[[#This Row],[Umístění]]</calculatedColumnFormula>
    </tableColumn>
  </tableColumns>
  <tableStyleInfo name="Styl tabulky 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E974B066-6561-4353-8AA2-29C6E553D116}" name="Tabulka17101319" displayName="Tabulka17101319" ref="B3:J27" totalsRowShown="0" headerRowDxfId="827" dataDxfId="825" headerRowBorderDxfId="826">
  <autoFilter ref="B3:J27" xr:uid="{62D044D3-D427-4706-A77D-7F311383422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4:J53">
    <sortCondition ref="C3:C53"/>
  </sortState>
  <tableColumns count="9">
    <tableColumn id="1" xr3:uid="{880DA82D-FC6E-4A8E-8809-6D778DF67AB4}" name="Start. Poz." dataDxfId="824"/>
    <tableColumn id="2" xr3:uid="{13187A7C-AB46-4D7D-B850-BCCF525CD3D9}" name="Umístění" dataDxfId="823">
      <calculatedColumnFormula>IF(Tabulka17101319[[#This Row],[ ]]="","",IF(Tabulka17101319[[#This Row],[ ]]="NEÚČAST","",IF(OR(Tabulka17101319[Výsledný čas]="N",Tabulka17101319[Výsledný čas]="D"),$L$4-$L$5,_xlfn.RANK.EQ(Tabulka17101319[[#This Row],[ ]],Tabulka17101319[[ ]],1))))</calculatedColumnFormula>
    </tableColumn>
    <tableColumn id="3" xr3:uid="{06F2F519-8A1F-4FB9-BAF6-B75115156EA9}" name="Tým" dataDxfId="822"/>
    <tableColumn id="4" xr3:uid="{D5579D42-5124-4D80-B422-AABA79E1E165}" name="LP" dataDxfId="821"/>
    <tableColumn id="5" xr3:uid="{BB80EF83-E77E-4DC1-A79D-2773D50B5E8E}" name="PP" dataDxfId="820"/>
    <tableColumn id="6" xr3:uid="{3860E7A7-9BE8-4803-9995-1888BA5ED758}" name="Výsledný čas" dataDxfId="819">
      <calculatedColumnFormula>IF(OR(Tabulka17101319[[#This Row],[LP]]="N",Tabulka17101319[[#This Row],[PP]]="N"),"N",IF(OR(Tabulka17101319[[#This Row],[LP]]="D",Tabulka17101319[[#This Row],[PP]]="D"),"D",IF(OR(Tabulka17101319[[#This Row],[LP]]="NEÚČAST",Tabulka17101319[[#This Row],[PP]]="NEÚČAST"),"NEÚČAST",IF(OR(Tabulka17101319[[#This Row],[LP]]="",Tabulka17101319[[#This Row],[PP]]=""),"",MAX(Tabulka17101319[[#This Row],[LP]:[PP]])))))</calculatedColumnFormula>
    </tableColumn>
    <tableColumn id="10" xr3:uid="{0DD0C09B-F05A-49C1-86EF-F413171EB986}" name="ÚČAST" dataDxfId="818">
      <calculatedColumnFormula>COUNTIF(Tabulka17101319[[#This Row],[Tým]],"*")</calculatedColumnFormula>
    </tableColumn>
    <tableColumn id="9" xr3:uid="{F8E795B1-D445-4F28-A7DE-6C1585AF16FE}" name="NEÚČAST" dataDxfId="817">
      <calculatedColumnFormula>COUNTIF(Tabulka17101319[[#This Row],[Výsledný čas]],"NEÚČAST")</calculatedColumnFormula>
    </tableColumn>
    <tableColumn id="7" xr3:uid="{DBE20D8E-0B92-4E56-B216-1C7ECFF557DA}" name=" " dataDxfId="816">
      <calculatedColumnFormula>IF(Tabulka17101319[[#This Row],[Výsledný čas]]="N",998,IF(Tabulka17101319[[#This Row],[Výsledný čas]]="D",998,IF(Tabulka17101319[[#This Row],[Výsledný čas]]="","",Tabulka17101319[[#This Row],[Výsledný čas]])))</calculatedColumnFormula>
    </tableColumn>
  </tableColumns>
  <tableStyleInfo name="Styl tabulky 1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EBC8CEF7-C904-4293-A2D0-202C3123DA3B}" name="Tabulka3811142283440465258647076828894" displayName="Tabulka3811142283440465258647076828894" ref="Z24:AF28" totalsRowShown="0" headerRowDxfId="132" dataDxfId="131">
  <autoFilter ref="Z24:AF28" xr:uid="{85A432A9-EAED-4601-841B-B8D71BCB493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xmlns:xlrd2="http://schemas.microsoft.com/office/spreadsheetml/2017/richdata2" ref="Z25:AF41">
    <sortCondition ref="Z3:Z20"/>
  </sortState>
  <tableColumns count="7">
    <tableColumn id="1" xr3:uid="{E500A324-41F0-4AAE-992D-EBEFECD50550}" name="Umístění" dataDxfId="130">
      <calculatedColumnFormula>IF(OR(Tabulka3811142283440465258647076828894[Výsledný čas]="N",Tabulka3811142283440465258647076828894[Výsledný čas]="D",Tabulka3811142283440465258647076828894[Výsledný čas]="NEÚČAST"),Uvod!$E$6,_xlfn.RANK.EQ(Tabulka3811142283440465258647076828894[[#This Row],[ ]],Tabulka3811142283440465258647076828894[[ ]],1))</calculatedColumnFormula>
    </tableColumn>
    <tableColumn id="2" xr3:uid="{F1EC349A-0D4E-43ED-943D-8CCBC07BCAB2}" name="Tým" dataDxfId="129"/>
    <tableColumn id="3" xr3:uid="{0A5AAC2F-35D8-4748-B707-EF2F33B3410A}" name="LP" dataDxfId="128">
      <calculatedColumnFormula>VLOOKUP(Tabulka3811142283440465258647076828894[[#This Row],[Tým]],Tabulka1710136303642485460667278849096[[Tým]:[ ]],2,FALSE)</calculatedColumnFormula>
    </tableColumn>
    <tableColumn id="4" xr3:uid="{C0D8DD6B-0D41-4997-BDA4-67F387D51710}" name="PP" dataDxfId="127">
      <calculatedColumnFormula>VLOOKUP(Tabulka3811142283440465258647076828894[[#This Row],[Tým]],Tabulka1710136303642485460667278849096[[Tým]:[ ]],3,FALSE)</calculatedColumnFormula>
    </tableColumn>
    <tableColumn id="5" xr3:uid="{0D0CDF36-F2FF-4D0E-B684-A7950335BA95}" name="Výsledný čas" dataDxfId="126">
      <calculatedColumnFormula>VLOOKUP(Tabulka3811142283440465258647076828894[[#This Row],[Tým]],Tabulka1710136303642485460667278849096[[Tým]:[ ]],4,FALSE)</calculatedColumnFormula>
    </tableColumn>
    <tableColumn id="6" xr3:uid="{D986FA82-2A7A-49D3-B8E3-281DBAB62D19}" name=" " dataDxfId="125">
      <calculatedColumnFormula>VLOOKUP(Tabulka3811142283440465258647076828894[[#This Row],[Tým]],Tabulka1710136303642485460667278849096[[Tým]:[ ]],7,FALSE)</calculatedColumnFormula>
    </tableColumn>
    <tableColumn id="9" xr3:uid="{0CBA02D0-0033-4B60-BCE1-99CE14985F14}" name="Body" dataDxfId="124">
      <calculatedColumnFormula>IF(Tabulka3811142283440465258647076828894[[#This Row],[Výsledný čas]]="N",5,IF(Tabulka3811142283440465258647076828894[[#This Row],[Výsledný čas]]="D",0,IF(Tabulka3811142283440465258647076828894[[#This Row],[Výsledný čas]]="NEÚČAST",0,Tabulka8[[#Totals],[Týmy ženy]]+6-Tabulka3811142283440465258647076828894[[#This Row],[Umístění]])))</calculatedColumnFormula>
    </tableColumn>
  </tableColumns>
  <tableStyleInfo name="Styl tabulky 1 2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37D7FD99-EDFC-4B42-8446-2844D3EE84BC}" name="Tabulka5912153293541475359657177838995" displayName="Tabulka5912153293541475359657177838995" ref="AH24:AL28" totalsRowShown="0" headerRowDxfId="123" dataDxfId="122">
  <autoFilter ref="AH24:AL28" xr:uid="{936496D5-1C85-47AE-BF72-87FD40DB1CAE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H25:AK41">
    <sortCondition ref="AH3:AH20"/>
  </sortState>
  <tableColumns count="5">
    <tableColumn id="1" xr3:uid="{FE6E9389-97C2-4C24-A5E0-26CCF4B4E06E}" name="Umístění" dataDxfId="121">
      <calculatedColumnFormula>_xlfn.RANK.EQ(Tabulka5912153293541475359657177838995[[#This Row],[Body]],Tabulka5912153293541475359657177838995[Body],0)</calculatedColumnFormula>
    </tableColumn>
    <tableColumn id="2" xr3:uid="{46FA4D99-D0D8-4946-9223-2A63FE00463C}" name="Tým" dataDxfId="120"/>
    <tableColumn id="3" xr3:uid="{EB8D196D-59A4-4240-9AAC-5AD20666D63B}" name="Body" dataDxfId="119">
      <calculatedColumnFormula>VLOOKUP(Tabulka5912153293541475359657177838995[[#This Row],[Tým]],Tabulka3811142283440465258647076828894[[Tým]:[Body]],6,FALSE)+Tabulka5912153293541475359657177838995[[#This Row],[ ]]</calculatedColumnFormula>
    </tableColumn>
    <tableColumn id="4" xr3:uid="{E5EF4F12-6A8C-404F-9EF5-CB3A3B61F878}" name=" " dataDxfId="118">
      <calculatedColumnFormula>VLOOKUP(Tabulka5912153293541475359657177838995[[#This Row],[Tým]],Tabulka59121532935414753596571778389[[Tým]:[Body]],2,FALSE)</calculatedColumnFormula>
    </tableColumn>
    <tableColumn id="5" xr3:uid="{1950F98D-9BF0-4ED7-B203-DB2CE2508181}" name="Sloupec1" dataDxfId="117">
      <calculatedColumnFormula>Tabulka5912153293541475359657177838995[[#This Row],[Umístění]]</calculatedColumnFormula>
    </tableColumn>
  </tableColumns>
  <tableStyleInfo name="Styl tabulky 1 2" showFirstColumn="0" showLastColumn="0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C3A5D64B-99E1-448D-857A-F5C75C7B64DA}" name="Tabulka1710136303642485460667278849096" displayName="Tabulka1710136303642485460667278849096" ref="N3:V9" totalsRowShown="0" headerRowDxfId="116" dataDxfId="115">
  <autoFilter ref="N3:V9" xr:uid="{3B6B0F44-04D5-4BDE-9432-A266A6F818E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N4:V9">
    <sortCondition ref="O3:O9"/>
  </sortState>
  <tableColumns count="9">
    <tableColumn id="1" xr3:uid="{58846187-6546-462A-8CBE-30AFD3443198}" name="Start. Poz." dataDxfId="114"/>
    <tableColumn id="2" xr3:uid="{556968F7-73C8-4C3D-946C-72F42704AD00}" name="Umístění" dataDxfId="113">
      <calculatedColumnFormula>IF(Tabulka1710136303642485460667278849096[[#This Row],[ ]]="","",IF(Tabulka1710136303642485460667278849096[[#This Row],[ ]]="NEÚČAST","",IF(OR(Tabulka1710136303642485460667278849096[Výsledný čas]="N",Tabulka1710136303642485460667278849096[Výsledný čas]="D"),$X$4-$X$5,_xlfn.RANK.EQ(Tabulka1710136303642485460667278849096[[#This Row],[ ]],Tabulka1710136303642485460667278849096[[ ]],1))))</calculatedColumnFormula>
    </tableColumn>
    <tableColumn id="3" xr3:uid="{191E1F52-0EC1-4313-BFD4-30430E2D1953}" name="Tým" dataDxfId="112"/>
    <tableColumn id="4" xr3:uid="{438E1489-D180-4BF5-9DDF-6EDD602913BB}" name="LP" dataDxfId="111"/>
    <tableColumn id="5" xr3:uid="{D90DCF73-320A-42A1-ABF6-8AA674BEB32E}" name="PP" dataDxfId="110"/>
    <tableColumn id="6" xr3:uid="{125AE430-C442-4EDA-836B-E2C0BEC6385F}" name="Výsledný čas" dataDxfId="109">
      <calculatedColumnFormula>IF(OR(Tabulka1710136303642485460667278849096[[#This Row],[LP]]="N",Tabulka1710136303642485460667278849096[[#This Row],[PP]]="N"),"N",IF(OR(Tabulka1710136303642485460667278849096[[#This Row],[LP]]="D",Tabulka1710136303642485460667278849096[[#This Row],[PP]]="D"),"D",IF(OR(Tabulka1710136303642485460667278849096[[#This Row],[LP]]="NEÚČAST",Tabulka1710136303642485460667278849096[[#This Row],[PP]]="NEÚČAST"),"NEÚČAST",IF(OR(Tabulka1710136303642485460667278849096[[#This Row],[LP]]="",Tabulka1710136303642485460667278849096[[#This Row],[PP]]=""),"",MAX(Tabulka1710136303642485460667278849096[[#This Row],[LP]:[PP]])))))</calculatedColumnFormula>
    </tableColumn>
    <tableColumn id="8" xr3:uid="{56E21249-D108-4304-9181-CB371D7E8F2F}" name="Sloupec1" dataDxfId="108">
      <calculatedColumnFormula>COUNTIF(Tabulka1710136303642485460667278849096[[#This Row],[Tým]],"*")</calculatedColumnFormula>
    </tableColumn>
    <tableColumn id="9" xr3:uid="{B0C7DE18-3B62-4539-86F5-467E19E165A2}" name="Sloupec2" dataDxfId="107">
      <calculatedColumnFormula>COUNTIF(Tabulka1710136303642485460667278849096[[#This Row],[Výsledný čas]],"NEÚČAST")</calculatedColumnFormula>
    </tableColumn>
    <tableColumn id="7" xr3:uid="{D085A9C4-A2B4-4B66-8213-64A9B6E107C3}" name=" " dataDxfId="106">
      <calculatedColumnFormula>IF(Tabulka1710136303642485460667278849096[[#This Row],[Výsledný čas]]="N",998,IF(Tabulka1710136303642485460667278849096[[#This Row],[Výsledný čas]]="D",998,IF(Tabulka1710136303642485460667278849096[[#This Row],[Výsledný čas]]="","",Tabulka1710136303642485460667278849096[[#This Row],[Výsledný čas]])))</calculatedColumnFormula>
    </tableColumn>
  </tableColumns>
  <tableStyleInfo name="Styl tabulky 1 2" showFirstColumn="0" showLastColumn="0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DF3450E6-4BFB-44F8-8062-B7A5F146EAD8}" name="Tabulka17101325313743495561677379859197" displayName="Tabulka17101325313743495561677379859197" ref="B3:J20" totalsRowShown="0" headerRowDxfId="105" dataDxfId="104">
  <autoFilter ref="B3:J20" xr:uid="{62D044D3-D427-4706-A77D-7F311383422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4:J53">
    <sortCondition ref="C3:C53"/>
  </sortState>
  <tableColumns count="9">
    <tableColumn id="1" xr3:uid="{DC0B6D8B-3212-4D9B-A33D-E2D7DD3D3D51}" name="Start. Poz." dataDxfId="103"/>
    <tableColumn id="2" xr3:uid="{9ADACD63-95FA-4BFD-A96A-EEECD994DF6A}" name="Umístění" dataDxfId="102">
      <calculatedColumnFormula>IF(Tabulka17101325313743495561677379859197[[#This Row],[ ]]="","",IF(Tabulka17101325313743495561677379859197[[#This Row],[ ]]="NEÚČAST","",IF(OR(Tabulka17101325313743495561677379859197[Výsledný čas]="N",Tabulka17101325313743495561677379859197[Výsledný čas]="D"),$L$4-$L$5,_xlfn.RANK.EQ(Tabulka17101325313743495561677379859197[[#This Row],[ ]],Tabulka17101325313743495561677379859197[[ ]],1))))</calculatedColumnFormula>
    </tableColumn>
    <tableColumn id="3" xr3:uid="{6991CEF7-9174-4646-9C43-336063B22581}" name="Tým" dataDxfId="101"/>
    <tableColumn id="4" xr3:uid="{6288C4DA-20F3-4E93-AA38-8897791F7BB4}" name="LP" dataDxfId="100"/>
    <tableColumn id="5" xr3:uid="{19393C4B-5CCF-4968-AB38-AC9AC2E6EC16}" name="PP" dataDxfId="99"/>
    <tableColumn id="6" xr3:uid="{17C51433-E8ED-4E60-B97E-723A29DB57C0}" name="Výsledný čas" dataDxfId="98">
      <calculatedColumnFormula>IF(OR(Tabulka17101325313743495561677379859197[[#This Row],[LP]]="N",Tabulka17101325313743495561677379859197[[#This Row],[PP]]="N"),"N",IF(OR(Tabulka17101325313743495561677379859197[[#This Row],[LP]]="D",Tabulka17101325313743495561677379859197[[#This Row],[PP]]="D"),"D",IF(OR(Tabulka17101325313743495561677379859197[[#This Row],[LP]]="NEÚČAST",Tabulka17101325313743495561677379859197[[#This Row],[PP]]="NEÚČAST"),"NEÚČAST",IF(OR(Tabulka17101325313743495561677379859197[[#This Row],[LP]]="",Tabulka17101325313743495561677379859197[[#This Row],[PP]]=""),"",MAX(Tabulka17101325313743495561677379859197[[#This Row],[LP]:[PP]])))))</calculatedColumnFormula>
    </tableColumn>
    <tableColumn id="8" xr3:uid="{D46C2196-7699-4289-8870-D713AEB003F9}" name="ÚČAST" dataDxfId="97">
      <calculatedColumnFormula>COUNTIF(Tabulka17101325313743495561677379859197[[#This Row],[Tým]],"*")</calculatedColumnFormula>
    </tableColumn>
    <tableColumn id="9" xr3:uid="{439CAA53-46B7-4988-B782-0CD16F83E485}" name="NEÚČAST" dataDxfId="96">
      <calculatedColumnFormula>COUNTIF(Tabulka17101325313743495561677379859197[[#This Row],[Výsledný čas]],"NEÚČAST")</calculatedColumnFormula>
    </tableColumn>
    <tableColumn id="7" xr3:uid="{1CB05361-14B4-4EAB-9A9D-808B1E4E8CFE}" name=" " dataDxfId="95">
      <calculatedColumnFormula>IF(Tabulka17101325313743495561677379859197[[#This Row],[Výsledný čas]]="N",998,IF(Tabulka17101325313743495561677379859197[[#This Row],[Výsledný čas]]="D",998,IF(Tabulka17101325313743495561677379859197[[#This Row],[Výsledný čas]]="","",Tabulka17101325313743495561677379859197[[#This Row],[Výsledný čas]])))</calculatedColumnFormula>
    </tableColumn>
  </tableColumns>
  <tableStyleInfo name="Styl tabulky 1" showFirstColumn="0" showLastColumn="0" showRowStripes="1" showColumnStripes="0"/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37346CEE-9CEA-4B92-8084-25C7F4D16BCA}" name="Tabulka38111426323844505662687480869298" displayName="Tabulka38111426323844505662687480869298" ref="Z3:AF20" totalsRowShown="0" headerRowDxfId="94" dataDxfId="93">
  <autoFilter ref="Z3:AF20" xr:uid="{083BB06C-1560-470E-A308-0377A133B66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xmlns:xlrd2="http://schemas.microsoft.com/office/spreadsheetml/2017/richdata2" ref="Z4:AF20">
    <sortCondition ref="Z3:Z20"/>
  </sortState>
  <tableColumns count="7">
    <tableColumn id="1" xr3:uid="{02C39A3F-F197-4988-A5E9-43EEEE3D8D87}" name="Umístění" dataDxfId="92">
      <calculatedColumnFormula>IF(OR(Tabulka38111426323844505662687480869298[Výsledný čas]="N",Tabulka38111426323844505662687480869298[Výsledný čas]="D",Tabulka38111426323844505662687480869298[Výsledný čas]="NEÚČAST"),Uvod!$E$4,_xlfn.RANK.EQ(Tabulka38111426323844505662687480869298[[#This Row],[ ]],Tabulka38111426323844505662687480869298[[ ]],1))</calculatedColumnFormula>
    </tableColumn>
    <tableColumn id="2" xr3:uid="{2280A782-C70C-4FE5-B364-DB9B86DF5E96}" name="Tým" dataDxfId="91"/>
    <tableColumn id="3" xr3:uid="{21EF5EA0-2959-49A6-82B2-D11321FBCC65}" name="LP" dataDxfId="90">
      <calculatedColumnFormula>VLOOKUP(Tabulka38111426323844505662687480869298[[#This Row],[Tým]],Tabulka17101325313743495561677379859197[[Tým]:[ ]],2,FALSE)</calculatedColumnFormula>
    </tableColumn>
    <tableColumn id="4" xr3:uid="{08C8D045-7AE4-4B6C-977D-5C93256D18A4}" name="PP" dataDxfId="89">
      <calculatedColumnFormula>VLOOKUP(Tabulka38111426323844505662687480869298[[#This Row],[Tým]],Tabulka17101325313743495561677379859197[[Tým]:[ ]],3,FALSE)</calculatedColumnFormula>
    </tableColumn>
    <tableColumn id="5" xr3:uid="{DAFAC9F6-7E18-457F-814D-F3D41FFBC948}" name="Výsledný čas" dataDxfId="88">
      <calculatedColumnFormula>VLOOKUP(Tabulka38111426323844505662687480869298[[#This Row],[Tým]],Tabulka17101325313743495561677379859197[[Tým]:[ ]],4,FALSE)</calculatedColumnFormula>
    </tableColumn>
    <tableColumn id="6" xr3:uid="{270968DF-8EB5-43AC-B33F-F2FAD5F117C5}" name=" " dataDxfId="87">
      <calculatedColumnFormula>VLOOKUP(Tabulka38111426323844505662687480869298[[#This Row],[Tým]],Tabulka17101325313743495561677379859197[[Tým]:[ ]],7,FALSE)</calculatedColumnFormula>
    </tableColumn>
    <tableColumn id="9" xr3:uid="{90D08469-D6F8-42C0-9BEE-54A0A0A18466}" name="Body" dataDxfId="86">
      <calculatedColumnFormula>IF(Tabulka38111426323844505662687480869298[[#This Row],[Výsledný čas]]="N",5,IF(Tabulka38111426323844505662687480869298[[#This Row],[Výsledný čas]]="D",0,IF(Tabulka38111426323844505662687480869298[[#This Row],[Výsledný čas]]="NEÚČAST",0,Tabulka4[[#Totals],[Týmy muži]]+6-Tabulka38111426323844505662687480869298[[#This Row],[Umístění]])))</calculatedColumnFormula>
    </tableColumn>
  </tableColumns>
  <tableStyleInfo name="Styl tabulky 1" showFirstColumn="0" showLastColumn="0" showRowStripes="1" showColumnStripes="0"/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4E57A4A2-2C1F-49C9-940C-3C767CAD85BB}" name="Tabulka59121527333945515763697581879399" displayName="Tabulka59121527333945515763697581879399" ref="AH3:AL20" totalsRowShown="0" headerRowDxfId="85" dataDxfId="84">
  <autoFilter ref="AH3:AL20" xr:uid="{0A08C00D-A582-4264-A100-7D00EC898DD5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H4:AK20">
    <sortCondition ref="AH3:AH20"/>
  </sortState>
  <tableColumns count="5">
    <tableColumn id="1" xr3:uid="{6711E36B-BDA4-41D9-8812-E2920767C2A8}" name="Umístění" dataDxfId="83">
      <calculatedColumnFormula>_xlfn.RANK.EQ(Tabulka59121527333945515763697581879399[[#This Row],[Body]],Tabulka59121527333945515763697581879399[Body],0)</calculatedColumnFormula>
    </tableColumn>
    <tableColumn id="2" xr3:uid="{938B684B-0C75-493E-8312-5E0BAF44856B}" name="Tým" dataDxfId="82"/>
    <tableColumn id="3" xr3:uid="{48F67811-8EB6-4D39-A2E8-08C69276A723}" name="Body" dataDxfId="81">
      <calculatedColumnFormula>VLOOKUP(Tabulka59121527333945515763697581879399[[#This Row],[Tým]],Tabulka38111426323844505662687480869298[[Tým]:[Body]],6,FALSE)+Tabulka59121527333945515763697581879399[[#This Row],[ ]]</calculatedColumnFormula>
    </tableColumn>
    <tableColumn id="4" xr3:uid="{13DCE716-D2AC-430A-B451-C698B44BAB1A}" name=" " dataDxfId="80">
      <calculatedColumnFormula>VLOOKUP(Tabulka59121527333945515763697581879399[[#This Row],[Tým]],Tabulka591215273339455157636975818793[[Tým]:[Body]],2,FALSE)</calculatedColumnFormula>
    </tableColumn>
    <tableColumn id="7" xr3:uid="{A29F3024-8171-4C27-9020-33AD7FD316AE}" name="Sloupec1" dataDxfId="79">
      <calculatedColumnFormula>Tabulka59121527333945515763697581879399[[#This Row],[Umístění]]</calculatedColumnFormula>
    </tableColumn>
  </tableColumns>
  <tableStyleInfo name="Styl tabulky 1" showFirstColumn="0" showLastColumn="0" showRowStripes="1" showColumnStripes="0"/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98528709-D9EC-4F5B-BF16-330908A46BC7}" name="Tabulka3811142283440465258647076828894100" displayName="Tabulka3811142283440465258647076828894100" ref="Z24:AF28" totalsRowShown="0" headerRowDxfId="78" dataDxfId="77">
  <autoFilter ref="Z24:AF28" xr:uid="{85A432A9-EAED-4601-841B-B8D71BCB493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xmlns:xlrd2="http://schemas.microsoft.com/office/spreadsheetml/2017/richdata2" ref="Z25:AF41">
    <sortCondition ref="Z3:Z20"/>
  </sortState>
  <tableColumns count="7">
    <tableColumn id="1" xr3:uid="{7FDDB041-E2B1-49BA-A8ED-8B77021C5F24}" name="Umístění" dataDxfId="76">
      <calculatedColumnFormula>IF(OR(Tabulka3811142283440465258647076828894100[Výsledný čas]="N",Tabulka3811142283440465258647076828894100[Výsledný čas]="D",Tabulka3811142283440465258647076828894100[Výsledný čas]="NEÚČAST"),Uvod!$E$6,_xlfn.RANK.EQ(Tabulka3811142283440465258647076828894100[[#This Row],[ ]],Tabulka3811142283440465258647076828894100[[ ]],1))</calculatedColumnFormula>
    </tableColumn>
    <tableColumn id="2" xr3:uid="{C5B6ACF6-419F-4548-BB5C-5297138DF46B}" name="Tým" dataDxfId="75"/>
    <tableColumn id="3" xr3:uid="{21BF92C9-A58D-4A25-B997-2F1BC988BA4F}" name="LP" dataDxfId="74">
      <calculatedColumnFormula>VLOOKUP(Tabulka3811142283440465258647076828894100[[#This Row],[Tým]],Tabulka1710136303642485460667278849096102[[Tým]:[ ]],2,FALSE)</calculatedColumnFormula>
    </tableColumn>
    <tableColumn id="4" xr3:uid="{37F4C6DF-6B1E-4926-9804-6A96E41B2991}" name="PP" dataDxfId="73">
      <calculatedColumnFormula>VLOOKUP(Tabulka3811142283440465258647076828894100[[#This Row],[Tým]],Tabulka1710136303642485460667278849096102[[Tým]:[ ]],3,FALSE)</calculatedColumnFormula>
    </tableColumn>
    <tableColumn id="5" xr3:uid="{08D4A11C-283B-4E60-80D7-E1D8B5D2E79F}" name="Výsledný čas" dataDxfId="72">
      <calculatedColumnFormula>VLOOKUP(Tabulka3811142283440465258647076828894100[[#This Row],[Tým]],Tabulka1710136303642485460667278849096102[[Tým]:[ ]],4,FALSE)</calculatedColumnFormula>
    </tableColumn>
    <tableColumn id="6" xr3:uid="{63A4FB6A-9DF1-4472-B2AC-9FC8089A09D0}" name=" " dataDxfId="71">
      <calculatedColumnFormula>VLOOKUP(Tabulka3811142283440465258647076828894100[[#This Row],[Tým]],Tabulka1710136303642485460667278849096102[[Tým]:[ ]],7,FALSE)</calculatedColumnFormula>
    </tableColumn>
    <tableColumn id="9" xr3:uid="{2523A692-64A3-4F8F-842D-32836CD7707E}" name="Body" dataDxfId="70">
      <calculatedColumnFormula>IF(Tabulka3811142283440465258647076828894100[[#This Row],[Výsledný čas]]="N",5,IF(Tabulka3811142283440465258647076828894100[[#This Row],[Výsledný čas]]="D",0,IF(Tabulka3811142283440465258647076828894100[[#This Row],[Výsledný čas]]="NEÚČAST",0,Tabulka8[[#Totals],[Týmy ženy]]+6-Tabulka3811142283440465258647076828894100[[#This Row],[Umístění]])))</calculatedColumnFormula>
    </tableColumn>
  </tableColumns>
  <tableStyleInfo name="Styl tabulky 1 2" showFirstColumn="0" showLastColumn="0" showRowStripes="1" showColumnStripes="0"/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B4DB3FA5-195F-457F-AF2A-87744A9BF667}" name="Tabulka5912153293541475359657177838995101" displayName="Tabulka5912153293541475359657177838995101" ref="AH24:AL28" totalsRowShown="0" headerRowDxfId="69" dataDxfId="68">
  <autoFilter ref="AH24:AL28" xr:uid="{936496D5-1C85-47AE-BF72-87FD40DB1CAE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H25:AK41">
    <sortCondition ref="AH3:AH20"/>
  </sortState>
  <tableColumns count="5">
    <tableColumn id="1" xr3:uid="{158F15DC-0F35-4FE4-98A4-CDB456823AF2}" name="Umístění" dataDxfId="67">
      <calculatedColumnFormula>_xlfn.RANK.EQ(Tabulka5912153293541475359657177838995101[[#This Row],[Body]],Tabulka5912153293541475359657177838995101[Body],0)</calculatedColumnFormula>
    </tableColumn>
    <tableColumn id="2" xr3:uid="{2B5656A3-D803-402B-852F-6203E3516D9E}" name="Tým" dataDxfId="66"/>
    <tableColumn id="3" xr3:uid="{1280C966-1022-410C-8937-ECA272DF2908}" name="Body" dataDxfId="65">
      <calculatedColumnFormula>VLOOKUP(Tabulka5912153293541475359657177838995101[[#This Row],[Tým]],Tabulka3811142283440465258647076828894100[[Tým]:[Body]],6,FALSE)+Tabulka5912153293541475359657177838995101[[#This Row],[ ]]</calculatedColumnFormula>
    </tableColumn>
    <tableColumn id="4" xr3:uid="{AEB25A6A-13C8-4A83-ADA2-5F3C0051E4B0}" name=" " dataDxfId="64">
      <calculatedColumnFormula>VLOOKUP(Tabulka5912153293541475359657177838995101[[#This Row],[Tým]],Tabulka5912153293541475359657177838995[[Tým]:[Body]],2,FALSE)</calculatedColumnFormula>
    </tableColumn>
    <tableColumn id="7" xr3:uid="{7EC57799-5FB9-4234-8674-4CAD0B0506B5}" name="Sloupec1" dataDxfId="63">
      <calculatedColumnFormula>Tabulka5912153293541475359657177838995101[[#This Row],[Umístění]]</calculatedColumnFormula>
    </tableColumn>
  </tableColumns>
  <tableStyleInfo name="Styl tabulky 1 2" showFirstColumn="0" showLastColumn="0" showRowStripes="1" showColumnStripes="0"/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28462931-25B2-4FF3-8169-3CC4531C73EC}" name="Tabulka1710136303642485460667278849096102" displayName="Tabulka1710136303642485460667278849096102" ref="N3:V12" totalsRowShown="0" headerRowDxfId="62" dataDxfId="61">
  <autoFilter ref="N3:V12" xr:uid="{3B6B0F44-04D5-4BDE-9432-A266A6F818E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N4:V53">
    <sortCondition ref="O3:O53"/>
  </sortState>
  <tableColumns count="9">
    <tableColumn id="1" xr3:uid="{26C79D28-2AFF-4686-89B5-6E9B990FCC3E}" name="Start. Poz." dataDxfId="60"/>
    <tableColumn id="2" xr3:uid="{3FB33872-C4B0-4FFF-9E8F-7D6B02769800}" name="Umístění" dataDxfId="59">
      <calculatedColumnFormula>IF(Tabulka1710136303642485460667278849096102[[#This Row],[ ]]="","",IF(Tabulka1710136303642485460667278849096102[[#This Row],[ ]]="NEÚČAST","",IF(OR(Tabulka1710136303642485460667278849096102[Výsledný čas]="N",Tabulka1710136303642485460667278849096102[Výsledný čas]="D"),$X$4-$X$5,_xlfn.RANK.EQ(Tabulka1710136303642485460667278849096102[[#This Row],[ ]],Tabulka1710136303642485460667278849096102[[ ]],1))))</calculatedColumnFormula>
    </tableColumn>
    <tableColumn id="3" xr3:uid="{96A1FA7E-174A-436C-93CD-8DCBD65F0612}" name="Tým" dataDxfId="58"/>
    <tableColumn id="4" xr3:uid="{57766186-4D68-48A7-BDCE-9C1504766324}" name="LP" dataDxfId="57"/>
    <tableColumn id="5" xr3:uid="{A742FAFC-9D7C-429C-AE4B-5C8F82F596D3}" name="PP" dataDxfId="56"/>
    <tableColumn id="6" xr3:uid="{E24D2538-85F3-4EA7-81AA-19C76466E1C3}" name="Výsledný čas" dataDxfId="55">
      <calculatedColumnFormula>IF(OR(Tabulka1710136303642485460667278849096102[[#This Row],[LP]]="N",Tabulka1710136303642485460667278849096102[[#This Row],[PP]]="N"),"N",IF(OR(Tabulka1710136303642485460667278849096102[[#This Row],[LP]]="D",Tabulka1710136303642485460667278849096102[[#This Row],[PP]]="D"),"D",IF(OR(Tabulka1710136303642485460667278849096102[[#This Row],[LP]]="NEÚČAST",Tabulka1710136303642485460667278849096102[[#This Row],[PP]]="NEÚČAST"),"NEÚČAST",IF(OR(Tabulka1710136303642485460667278849096102[[#This Row],[LP]]="",Tabulka1710136303642485460667278849096102[[#This Row],[PP]]=""),"",MAX(Tabulka1710136303642485460667278849096102[[#This Row],[LP]:[PP]])))))</calculatedColumnFormula>
    </tableColumn>
    <tableColumn id="8" xr3:uid="{69D406EC-3063-4816-83A2-B311C0E37B5D}" name="ÚČAST" dataDxfId="54">
      <calculatedColumnFormula>COUNTIF(Tabulka1710136303642485460667278849096102[[#This Row],[Tým]],"*")</calculatedColumnFormula>
    </tableColumn>
    <tableColumn id="9" xr3:uid="{1B8F98AA-61B9-4D34-B07E-CF64DE2B423A}" name="NEÚČAST" dataDxfId="53">
      <calculatedColumnFormula>COUNTIF(Tabulka1710136303642485460667278849096102[[#This Row],[Výsledný čas]],"NEÚČAST")</calculatedColumnFormula>
    </tableColumn>
    <tableColumn id="7" xr3:uid="{728B6EA5-2930-44BB-858D-B1D41094F29C}" name=" " dataDxfId="52">
      <calculatedColumnFormula>IF(Tabulka1710136303642485460667278849096102[[#This Row],[Výsledný čas]]="N",998,IF(Tabulka1710136303642485460667278849096102[[#This Row],[Výsledný čas]]="D",998,IF(Tabulka1710136303642485460667278849096102[[#This Row],[Výsledný čas]]="","",Tabulka1710136303642485460667278849096102[[#This Row],[Výsledný čas]])))</calculatedColumnFormula>
    </tableColumn>
  </tableColumns>
  <tableStyleInfo name="Styl tabulky 1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2.xml"/><Relationship Id="rId7" Type="http://schemas.openxmlformats.org/officeDocument/2006/relationships/table" Target="../tables/table56.xml"/><Relationship Id="rId2" Type="http://schemas.openxmlformats.org/officeDocument/2006/relationships/table" Target="../tables/table51.xml"/><Relationship Id="rId1" Type="http://schemas.openxmlformats.org/officeDocument/2006/relationships/printerSettings" Target="../printerSettings/printerSettings10.bin"/><Relationship Id="rId6" Type="http://schemas.openxmlformats.org/officeDocument/2006/relationships/table" Target="../tables/table55.xml"/><Relationship Id="rId5" Type="http://schemas.openxmlformats.org/officeDocument/2006/relationships/table" Target="../tables/table54.xml"/><Relationship Id="rId4" Type="http://schemas.openxmlformats.org/officeDocument/2006/relationships/table" Target="../tables/table5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8.xml"/><Relationship Id="rId7" Type="http://schemas.openxmlformats.org/officeDocument/2006/relationships/table" Target="../tables/table62.xml"/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11.bin"/><Relationship Id="rId6" Type="http://schemas.openxmlformats.org/officeDocument/2006/relationships/table" Target="../tables/table61.xml"/><Relationship Id="rId5" Type="http://schemas.openxmlformats.org/officeDocument/2006/relationships/table" Target="../tables/table60.xml"/><Relationship Id="rId4" Type="http://schemas.openxmlformats.org/officeDocument/2006/relationships/table" Target="../tables/table5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4.xml"/><Relationship Id="rId7" Type="http://schemas.openxmlformats.org/officeDocument/2006/relationships/table" Target="../tables/table68.xml"/><Relationship Id="rId2" Type="http://schemas.openxmlformats.org/officeDocument/2006/relationships/table" Target="../tables/table63.xml"/><Relationship Id="rId1" Type="http://schemas.openxmlformats.org/officeDocument/2006/relationships/printerSettings" Target="../printerSettings/printerSettings12.bin"/><Relationship Id="rId6" Type="http://schemas.openxmlformats.org/officeDocument/2006/relationships/table" Target="../tables/table67.xml"/><Relationship Id="rId5" Type="http://schemas.openxmlformats.org/officeDocument/2006/relationships/table" Target="../tables/table66.xml"/><Relationship Id="rId4" Type="http://schemas.openxmlformats.org/officeDocument/2006/relationships/table" Target="../tables/table65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0.xml"/><Relationship Id="rId7" Type="http://schemas.openxmlformats.org/officeDocument/2006/relationships/table" Target="../tables/table74.xml"/><Relationship Id="rId2" Type="http://schemas.openxmlformats.org/officeDocument/2006/relationships/table" Target="../tables/table69.xml"/><Relationship Id="rId1" Type="http://schemas.openxmlformats.org/officeDocument/2006/relationships/printerSettings" Target="../printerSettings/printerSettings13.bin"/><Relationship Id="rId6" Type="http://schemas.openxmlformats.org/officeDocument/2006/relationships/table" Target="../tables/table73.xml"/><Relationship Id="rId5" Type="http://schemas.openxmlformats.org/officeDocument/2006/relationships/table" Target="../tables/table72.xml"/><Relationship Id="rId4" Type="http://schemas.openxmlformats.org/officeDocument/2006/relationships/table" Target="../tables/table7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6.xml"/><Relationship Id="rId7" Type="http://schemas.openxmlformats.org/officeDocument/2006/relationships/table" Target="../tables/table80.xml"/><Relationship Id="rId2" Type="http://schemas.openxmlformats.org/officeDocument/2006/relationships/table" Target="../tables/table75.xml"/><Relationship Id="rId1" Type="http://schemas.openxmlformats.org/officeDocument/2006/relationships/printerSettings" Target="../printerSettings/printerSettings14.bin"/><Relationship Id="rId6" Type="http://schemas.openxmlformats.org/officeDocument/2006/relationships/table" Target="../tables/table79.xml"/><Relationship Id="rId5" Type="http://schemas.openxmlformats.org/officeDocument/2006/relationships/table" Target="../tables/table78.xml"/><Relationship Id="rId4" Type="http://schemas.openxmlformats.org/officeDocument/2006/relationships/table" Target="../tables/table77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2.xml"/><Relationship Id="rId7" Type="http://schemas.openxmlformats.org/officeDocument/2006/relationships/table" Target="../tables/table86.xml"/><Relationship Id="rId2" Type="http://schemas.openxmlformats.org/officeDocument/2006/relationships/table" Target="../tables/table81.xml"/><Relationship Id="rId1" Type="http://schemas.openxmlformats.org/officeDocument/2006/relationships/printerSettings" Target="../printerSettings/printerSettings15.bin"/><Relationship Id="rId6" Type="http://schemas.openxmlformats.org/officeDocument/2006/relationships/table" Target="../tables/table85.xml"/><Relationship Id="rId5" Type="http://schemas.openxmlformats.org/officeDocument/2006/relationships/table" Target="../tables/table84.xml"/><Relationship Id="rId4" Type="http://schemas.openxmlformats.org/officeDocument/2006/relationships/table" Target="../tables/table8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8.xml"/><Relationship Id="rId7" Type="http://schemas.openxmlformats.org/officeDocument/2006/relationships/table" Target="../tables/table92.xml"/><Relationship Id="rId2" Type="http://schemas.openxmlformats.org/officeDocument/2006/relationships/table" Target="../tables/table87.xml"/><Relationship Id="rId1" Type="http://schemas.openxmlformats.org/officeDocument/2006/relationships/printerSettings" Target="../printerSettings/printerSettings16.bin"/><Relationship Id="rId6" Type="http://schemas.openxmlformats.org/officeDocument/2006/relationships/table" Target="../tables/table91.xml"/><Relationship Id="rId5" Type="http://schemas.openxmlformats.org/officeDocument/2006/relationships/table" Target="../tables/table90.xml"/><Relationship Id="rId4" Type="http://schemas.openxmlformats.org/officeDocument/2006/relationships/table" Target="../tables/table89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4.xml"/><Relationship Id="rId7" Type="http://schemas.openxmlformats.org/officeDocument/2006/relationships/table" Target="../tables/table98.xml"/><Relationship Id="rId2" Type="http://schemas.openxmlformats.org/officeDocument/2006/relationships/table" Target="../tables/table93.xml"/><Relationship Id="rId1" Type="http://schemas.openxmlformats.org/officeDocument/2006/relationships/printerSettings" Target="../printerSettings/printerSettings17.bin"/><Relationship Id="rId6" Type="http://schemas.openxmlformats.org/officeDocument/2006/relationships/table" Target="../tables/table97.xml"/><Relationship Id="rId5" Type="http://schemas.openxmlformats.org/officeDocument/2006/relationships/table" Target="../tables/table96.xml"/><Relationship Id="rId4" Type="http://schemas.openxmlformats.org/officeDocument/2006/relationships/table" Target="../tables/table9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8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7" Type="http://schemas.openxmlformats.org/officeDocument/2006/relationships/table" Target="../tables/table14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3.xml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7" Type="http://schemas.openxmlformats.org/officeDocument/2006/relationships/table" Target="../tables/table20.xml"/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19.xml"/><Relationship Id="rId5" Type="http://schemas.openxmlformats.org/officeDocument/2006/relationships/table" Target="../tables/table18.xml"/><Relationship Id="rId4" Type="http://schemas.openxmlformats.org/officeDocument/2006/relationships/table" Target="../tables/table1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7" Type="http://schemas.openxmlformats.org/officeDocument/2006/relationships/table" Target="../tables/table26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25.xml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.xml"/><Relationship Id="rId7" Type="http://schemas.openxmlformats.org/officeDocument/2006/relationships/table" Target="../tables/table32.xml"/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31.xml"/><Relationship Id="rId5" Type="http://schemas.openxmlformats.org/officeDocument/2006/relationships/table" Target="../tables/table30.xml"/><Relationship Id="rId4" Type="http://schemas.openxmlformats.org/officeDocument/2006/relationships/table" Target="../tables/table2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7" Type="http://schemas.openxmlformats.org/officeDocument/2006/relationships/table" Target="../tables/table38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7.bin"/><Relationship Id="rId6" Type="http://schemas.openxmlformats.org/officeDocument/2006/relationships/table" Target="../tables/table37.xml"/><Relationship Id="rId5" Type="http://schemas.openxmlformats.org/officeDocument/2006/relationships/table" Target="../tables/table36.xml"/><Relationship Id="rId4" Type="http://schemas.openxmlformats.org/officeDocument/2006/relationships/table" Target="../tables/table3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0.xml"/><Relationship Id="rId7" Type="http://schemas.openxmlformats.org/officeDocument/2006/relationships/table" Target="../tables/table44.xml"/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8.bin"/><Relationship Id="rId6" Type="http://schemas.openxmlformats.org/officeDocument/2006/relationships/table" Target="../tables/table43.xml"/><Relationship Id="rId5" Type="http://schemas.openxmlformats.org/officeDocument/2006/relationships/table" Target="../tables/table42.xml"/><Relationship Id="rId4" Type="http://schemas.openxmlformats.org/officeDocument/2006/relationships/table" Target="../tables/table4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7" Type="http://schemas.openxmlformats.org/officeDocument/2006/relationships/table" Target="../tables/table50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9.bin"/><Relationship Id="rId6" Type="http://schemas.openxmlformats.org/officeDocument/2006/relationships/table" Target="../tables/table49.xml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2C86C-66E1-402C-9CDC-DF8D956BBD5C}">
  <dimension ref="A2:P52"/>
  <sheetViews>
    <sheetView workbookViewId="0">
      <selection activeCell="K42" sqref="K42"/>
    </sheetView>
  </sheetViews>
  <sheetFormatPr defaultRowHeight="15" x14ac:dyDescent="0.25"/>
  <cols>
    <col min="2" max="2" width="10.140625" bestFit="1" customWidth="1"/>
    <col min="3" max="3" width="13.7109375" bestFit="1" customWidth="1"/>
    <col min="5" max="5" width="15.85546875" bestFit="1" customWidth="1"/>
    <col min="7" max="7" width="14.28515625" bestFit="1" customWidth="1"/>
    <col min="9" max="9" width="14.28515625" bestFit="1" customWidth="1"/>
    <col min="10" max="10" width="22.5703125" bestFit="1" customWidth="1"/>
    <col min="13" max="13" width="13.7109375" bestFit="1" customWidth="1"/>
    <col min="14" max="14" width="11.140625" customWidth="1"/>
  </cols>
  <sheetData>
    <row r="2" spans="1:14" x14ac:dyDescent="0.25">
      <c r="B2" t="s">
        <v>64</v>
      </c>
    </row>
    <row r="3" spans="1:14" x14ac:dyDescent="0.25">
      <c r="A3" t="s">
        <v>41</v>
      </c>
      <c r="B3" s="85">
        <v>45065</v>
      </c>
      <c r="C3" t="s">
        <v>19</v>
      </c>
      <c r="E3" t="s">
        <v>97</v>
      </c>
      <c r="G3" t="s">
        <v>8</v>
      </c>
      <c r="H3" t="s">
        <v>73</v>
      </c>
      <c r="I3" t="s">
        <v>26</v>
      </c>
    </row>
    <row r="4" spans="1:14" ht="15.75" x14ac:dyDescent="0.25">
      <c r="A4" t="s">
        <v>65</v>
      </c>
      <c r="B4" s="85">
        <v>45072</v>
      </c>
      <c r="C4" t="s">
        <v>71</v>
      </c>
      <c r="E4">
        <v>19</v>
      </c>
      <c r="G4" s="55" t="s">
        <v>20</v>
      </c>
      <c r="H4" s="160"/>
      <c r="I4" s="55" t="s">
        <v>34</v>
      </c>
      <c r="M4" t="s">
        <v>73</v>
      </c>
      <c r="N4" t="s">
        <v>74</v>
      </c>
    </row>
    <row r="5" spans="1:14" ht="15.75" x14ac:dyDescent="0.25">
      <c r="A5" t="s">
        <v>44</v>
      </c>
      <c r="B5" s="85">
        <v>45086</v>
      </c>
      <c r="C5" t="s">
        <v>23</v>
      </c>
      <c r="E5" t="s">
        <v>98</v>
      </c>
      <c r="G5" s="57" t="s">
        <v>33</v>
      </c>
      <c r="H5" s="160"/>
      <c r="I5" s="55" t="s">
        <v>35</v>
      </c>
      <c r="L5">
        <v>1</v>
      </c>
      <c r="M5" t="s">
        <v>19</v>
      </c>
    </row>
    <row r="6" spans="1:14" ht="15.75" x14ac:dyDescent="0.25">
      <c r="A6" t="s">
        <v>66</v>
      </c>
      <c r="B6" s="85">
        <v>45093</v>
      </c>
      <c r="C6" t="s">
        <v>22</v>
      </c>
      <c r="E6">
        <v>10</v>
      </c>
      <c r="G6" s="55" t="s">
        <v>30</v>
      </c>
      <c r="H6" s="160"/>
      <c r="I6" s="55" t="s">
        <v>22</v>
      </c>
      <c r="L6">
        <v>2</v>
      </c>
      <c r="M6" t="s">
        <v>30</v>
      </c>
    </row>
    <row r="7" spans="1:14" ht="15.75" x14ac:dyDescent="0.25">
      <c r="A7" t="s">
        <v>55</v>
      </c>
      <c r="B7" s="85">
        <v>45100</v>
      </c>
      <c r="C7" t="s">
        <v>20</v>
      </c>
      <c r="G7" s="55" t="s">
        <v>32</v>
      </c>
      <c r="H7" s="160"/>
      <c r="I7" s="55" t="s">
        <v>21</v>
      </c>
      <c r="M7" t="s">
        <v>22</v>
      </c>
    </row>
    <row r="8" spans="1:14" ht="15.75" x14ac:dyDescent="0.25">
      <c r="A8" t="s">
        <v>67</v>
      </c>
      <c r="B8" s="85">
        <v>45121</v>
      </c>
      <c r="C8" t="s">
        <v>16</v>
      </c>
      <c r="G8" s="57" t="s">
        <v>17</v>
      </c>
      <c r="H8" s="160"/>
      <c r="I8" s="55" t="s">
        <v>23</v>
      </c>
      <c r="M8" t="s">
        <v>20</v>
      </c>
    </row>
    <row r="9" spans="1:14" ht="15.75" x14ac:dyDescent="0.25">
      <c r="A9" t="s">
        <v>68</v>
      </c>
      <c r="B9" s="85">
        <v>45128</v>
      </c>
      <c r="C9" t="s">
        <v>21</v>
      </c>
      <c r="G9" s="55" t="s">
        <v>31</v>
      </c>
      <c r="H9" s="160"/>
      <c r="I9" s="55" t="s">
        <v>19</v>
      </c>
      <c r="M9" t="s">
        <v>11</v>
      </c>
    </row>
    <row r="10" spans="1:14" ht="15.75" x14ac:dyDescent="0.25">
      <c r="A10" t="s">
        <v>48</v>
      </c>
      <c r="B10" s="85">
        <v>45149</v>
      </c>
      <c r="C10" t="s">
        <v>72</v>
      </c>
      <c r="G10" s="55" t="s">
        <v>18</v>
      </c>
      <c r="H10" s="160"/>
      <c r="I10" s="55" t="s">
        <v>15</v>
      </c>
      <c r="M10" t="s">
        <v>15</v>
      </c>
    </row>
    <row r="11" spans="1:14" ht="15.75" x14ac:dyDescent="0.25">
      <c r="A11" t="s">
        <v>69</v>
      </c>
      <c r="B11" s="85">
        <v>45163</v>
      </c>
      <c r="C11" t="s">
        <v>15</v>
      </c>
      <c r="G11" s="55" t="s">
        <v>22</v>
      </c>
      <c r="H11" s="160"/>
      <c r="I11" s="55" t="s">
        <v>16</v>
      </c>
      <c r="M11" t="s">
        <v>10</v>
      </c>
    </row>
    <row r="12" spans="1:14" ht="15.75" x14ac:dyDescent="0.25">
      <c r="A12" t="s">
        <v>60</v>
      </c>
      <c r="B12" s="85">
        <v>45170</v>
      </c>
      <c r="C12" t="s">
        <v>25</v>
      </c>
      <c r="G12" s="55" t="s">
        <v>19</v>
      </c>
      <c r="H12" s="160"/>
      <c r="I12" s="55" t="s">
        <v>24</v>
      </c>
      <c r="M12" t="s">
        <v>18</v>
      </c>
    </row>
    <row r="13" spans="1:14" ht="15.75" x14ac:dyDescent="0.25">
      <c r="A13" t="s">
        <v>51</v>
      </c>
      <c r="B13" s="85">
        <v>45177</v>
      </c>
      <c r="C13" t="s">
        <v>14</v>
      </c>
      <c r="G13" s="55" t="s">
        <v>23</v>
      </c>
      <c r="H13" s="160"/>
      <c r="I13" s="55" t="s">
        <v>36</v>
      </c>
      <c r="M13" t="s">
        <v>23</v>
      </c>
    </row>
    <row r="14" spans="1:14" ht="15.75" x14ac:dyDescent="0.25">
      <c r="A14" t="s">
        <v>70</v>
      </c>
      <c r="B14" s="85">
        <v>45184</v>
      </c>
      <c r="C14" t="s">
        <v>24</v>
      </c>
      <c r="G14" s="55" t="s">
        <v>14</v>
      </c>
      <c r="H14" s="160"/>
      <c r="I14" s="56"/>
      <c r="M14" t="s">
        <v>6</v>
      </c>
    </row>
    <row r="15" spans="1:14" ht="15.75" x14ac:dyDescent="0.25">
      <c r="A15" t="s">
        <v>61</v>
      </c>
      <c r="G15" s="55" t="s">
        <v>25</v>
      </c>
      <c r="H15" s="160"/>
      <c r="I15" s="56"/>
      <c r="M15" t="s">
        <v>31</v>
      </c>
    </row>
    <row r="16" spans="1:14" ht="15.75" x14ac:dyDescent="0.25">
      <c r="A16" t="s">
        <v>52</v>
      </c>
      <c r="G16" s="55" t="s">
        <v>6</v>
      </c>
      <c r="H16" s="160"/>
      <c r="I16" s="56"/>
      <c r="M16" t="s">
        <v>16</v>
      </c>
    </row>
    <row r="17" spans="1:14" ht="15.75" x14ac:dyDescent="0.25">
      <c r="A17" t="s">
        <v>62</v>
      </c>
      <c r="G17" s="55" t="s">
        <v>11</v>
      </c>
      <c r="H17" s="160"/>
      <c r="I17" s="56"/>
      <c r="M17" t="s">
        <v>32</v>
      </c>
    </row>
    <row r="18" spans="1:14" ht="15.75" x14ac:dyDescent="0.25">
      <c r="G18" s="55" t="s">
        <v>15</v>
      </c>
      <c r="H18" s="160"/>
      <c r="I18" s="56"/>
      <c r="M18" t="s">
        <v>25</v>
      </c>
    </row>
    <row r="19" spans="1:14" ht="15.75" x14ac:dyDescent="0.25">
      <c r="G19" s="55" t="s">
        <v>10</v>
      </c>
      <c r="H19" s="160"/>
      <c r="I19" s="56"/>
      <c r="M19" t="s">
        <v>14</v>
      </c>
    </row>
    <row r="20" spans="1:14" ht="15.75" x14ac:dyDescent="0.25">
      <c r="G20" s="55" t="s">
        <v>24</v>
      </c>
      <c r="H20" s="160"/>
      <c r="I20" s="56"/>
      <c r="M20" t="s">
        <v>24</v>
      </c>
    </row>
    <row r="21" spans="1:14" ht="15.75" x14ac:dyDescent="0.25">
      <c r="G21" s="57" t="s">
        <v>13</v>
      </c>
      <c r="H21" s="160"/>
      <c r="I21" s="56"/>
      <c r="M21" t="s">
        <v>17</v>
      </c>
    </row>
    <row r="22" spans="1:14" ht="15.75" x14ac:dyDescent="0.25">
      <c r="G22" s="55" t="s">
        <v>16</v>
      </c>
      <c r="H22" s="160"/>
      <c r="I22" s="56"/>
      <c r="M22" t="s">
        <v>13</v>
      </c>
    </row>
    <row r="23" spans="1:14" ht="15.75" x14ac:dyDescent="0.25">
      <c r="G23" s="50"/>
      <c r="H23" s="161"/>
      <c r="M23" t="s">
        <v>33</v>
      </c>
    </row>
    <row r="24" spans="1:14" x14ac:dyDescent="0.25">
      <c r="G24">
        <f>SUBTOTAL(103,Tabulka4[Týmy muži])</f>
        <v>19</v>
      </c>
      <c r="I24">
        <f>SUBTOTAL(103,Tabulka8[Týmy ženy])</f>
        <v>10</v>
      </c>
    </row>
    <row r="25" spans="1:14" x14ac:dyDescent="0.25">
      <c r="M25" t="s">
        <v>73</v>
      </c>
      <c r="N25" t="s">
        <v>74</v>
      </c>
    </row>
    <row r="26" spans="1:14" x14ac:dyDescent="0.25">
      <c r="M26" t="s">
        <v>34</v>
      </c>
    </row>
    <row r="27" spans="1:14" x14ac:dyDescent="0.25">
      <c r="M27" t="s">
        <v>35</v>
      </c>
    </row>
    <row r="28" spans="1:14" x14ac:dyDescent="0.25">
      <c r="M28" t="s">
        <v>22</v>
      </c>
    </row>
    <row r="29" spans="1:14" x14ac:dyDescent="0.25">
      <c r="B29" s="183">
        <v>5.5</v>
      </c>
      <c r="M29" t="s">
        <v>21</v>
      </c>
    </row>
    <row r="30" spans="1:14" x14ac:dyDescent="0.25">
      <c r="M30" t="s">
        <v>23</v>
      </c>
    </row>
    <row r="31" spans="1:14" x14ac:dyDescent="0.25">
      <c r="G31" s="85">
        <f ca="1">TODAY()</f>
        <v>45134</v>
      </c>
      <c r="J31" s="182">
        <v>45116</v>
      </c>
      <c r="M31" t="s">
        <v>19</v>
      </c>
    </row>
    <row r="32" spans="1:14" x14ac:dyDescent="0.25">
      <c r="J32">
        <f ca="1">J31-G31</f>
        <v>-18</v>
      </c>
      <c r="M32" t="s">
        <v>15</v>
      </c>
    </row>
    <row r="33" spans="13:16" x14ac:dyDescent="0.25">
      <c r="M33" t="s">
        <v>16</v>
      </c>
    </row>
    <row r="34" spans="13:16" x14ac:dyDescent="0.25">
      <c r="M34" t="s">
        <v>24</v>
      </c>
    </row>
    <row r="35" spans="13:16" x14ac:dyDescent="0.25">
      <c r="M35" t="s">
        <v>36</v>
      </c>
    </row>
    <row r="41" spans="13:16" ht="16.5" x14ac:dyDescent="0.25">
      <c r="P41" s="84"/>
    </row>
    <row r="42" spans="13:16" ht="16.5" x14ac:dyDescent="0.25">
      <c r="P42" s="84"/>
    </row>
    <row r="43" spans="13:16" ht="16.5" x14ac:dyDescent="0.25">
      <c r="P43" s="84"/>
    </row>
    <row r="44" spans="13:16" ht="16.5" x14ac:dyDescent="0.25">
      <c r="P44" s="84"/>
    </row>
    <row r="45" spans="13:16" ht="16.5" x14ac:dyDescent="0.25">
      <c r="P45" s="84"/>
    </row>
    <row r="46" spans="13:16" ht="16.5" x14ac:dyDescent="0.25">
      <c r="P46" s="84"/>
    </row>
    <row r="47" spans="13:16" ht="16.5" x14ac:dyDescent="0.25">
      <c r="P47" s="84"/>
    </row>
    <row r="48" spans="13:16" ht="16.5" x14ac:dyDescent="0.25">
      <c r="P48" s="84"/>
    </row>
    <row r="49" spans="16:16" ht="16.5" x14ac:dyDescent="0.25">
      <c r="P49" s="84"/>
    </row>
    <row r="50" spans="16:16" ht="16.5" x14ac:dyDescent="0.25">
      <c r="P50" s="84"/>
    </row>
    <row r="51" spans="16:16" ht="16.5" x14ac:dyDescent="0.25">
      <c r="P51" s="84"/>
    </row>
    <row r="52" spans="16:16" ht="16.5" x14ac:dyDescent="0.25">
      <c r="P52" s="84"/>
    </row>
  </sheetData>
  <phoneticPr fontId="12" type="noConversion"/>
  <pageMargins left="0.7" right="0.7" top="0.78740157499999996" bottom="0.78740157499999996" header="0.3" footer="0.3"/>
  <pageSetup paperSize="9" orientation="portrait" r:id="rId1"/>
  <drawing r:id="rId2"/>
  <tableParts count="4">
    <tablePart r:id="rId3"/>
    <tablePart r:id="rId4"/>
    <tablePart r:id="rId5"/>
    <tablePart r:id="rId6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5F2E4-0BE6-4CB2-B78B-5CF73AFF35A1}">
  <dimension ref="A1:AP53"/>
  <sheetViews>
    <sheetView showGridLines="0" zoomScale="55" zoomScaleNormal="55" workbookViewId="0">
      <selection activeCell="AH26" sqref="AH26"/>
    </sheetView>
  </sheetViews>
  <sheetFormatPr defaultRowHeight="26.25" x14ac:dyDescent="0.4"/>
  <cols>
    <col min="1" max="1" width="5.7109375" style="1" customWidth="1"/>
    <col min="2" max="3" width="16.7109375" style="1" customWidth="1"/>
    <col min="4" max="4" width="35.7109375" style="1" customWidth="1"/>
    <col min="5" max="6" width="16.7109375" style="1" customWidth="1"/>
    <col min="7" max="7" width="20.7109375" style="1" customWidth="1"/>
    <col min="8" max="9" width="20.7109375" style="1" hidden="1" customWidth="1"/>
    <col min="10" max="12" width="11.5703125" style="1" hidden="1" customWidth="1"/>
    <col min="13" max="13" width="10.7109375" style="1" customWidth="1"/>
    <col min="14" max="15" width="16.7109375" style="1" customWidth="1"/>
    <col min="16" max="16" width="35.7109375" style="1" customWidth="1"/>
    <col min="17" max="18" width="16.7109375" style="1" customWidth="1"/>
    <col min="19" max="19" width="20.7109375" style="1" customWidth="1"/>
    <col min="20" max="21" width="20.7109375" style="1" hidden="1" customWidth="1"/>
    <col min="22" max="24" width="13.7109375" style="1" hidden="1" customWidth="1"/>
    <col min="25" max="25" width="9.140625" style="1"/>
    <col min="26" max="26" width="16.7109375" style="1" customWidth="1"/>
    <col min="27" max="27" width="35.7109375" style="1" customWidth="1"/>
    <col min="28" max="29" width="16.7109375" style="1" customWidth="1"/>
    <col min="30" max="30" width="20.7109375" style="1" customWidth="1"/>
    <col min="31" max="31" width="13.7109375" style="1" hidden="1" customWidth="1"/>
    <col min="32" max="32" width="12.7109375" style="1" customWidth="1"/>
    <col min="33" max="33" width="9.140625" style="1"/>
    <col min="34" max="34" width="16.7109375" style="1" customWidth="1"/>
    <col min="35" max="35" width="35.7109375" style="1" customWidth="1"/>
    <col min="36" max="36" width="12.7109375" style="1" customWidth="1"/>
    <col min="37" max="38" width="34.42578125" style="1" hidden="1" customWidth="1"/>
    <col min="39" max="41" width="9.140625" style="1"/>
    <col min="42" max="16384" width="9.140625" style="2"/>
  </cols>
  <sheetData>
    <row r="1" spans="1:42" ht="24.95" customHeight="1" thickBot="1" x14ac:dyDescent="0.45"/>
    <row r="2" spans="1:42" ht="24.95" customHeight="1" x14ac:dyDescent="0.4">
      <c r="A2" s="9"/>
      <c r="B2" s="317" t="str">
        <f>"Výsledky - Soutěže "&amp;Uvod!A10&amp;" kola NHHL "&amp;TEXT(Uvod!B10,"d.m. rrrr")&amp;" "&amp;Uvod!C10&amp;" - MUŽI "</f>
        <v xml:space="preserve">Výsledky - Soutěže 8. kola NHHL 11.8. 2023 Kozmice - MUŽI </v>
      </c>
      <c r="C2" s="318"/>
      <c r="D2" s="318"/>
      <c r="E2" s="318"/>
      <c r="F2" s="318"/>
      <c r="G2" s="318"/>
      <c r="H2" s="318"/>
      <c r="I2" s="318"/>
      <c r="J2" s="319"/>
      <c r="K2" s="177"/>
      <c r="L2" s="177"/>
      <c r="M2" s="15"/>
      <c r="N2" s="308" t="str">
        <f>"Výsledky - Soutěže "&amp;Uvod!A10&amp;" kola NHHL "&amp;TEXT(Uvod!B10,"d.m. rrrr")&amp;" "&amp;Uvod!C10&amp;" - ŽENY "</f>
        <v xml:space="preserve">Výsledky - Soutěže 8. kola NHHL 11.8. 2023 Kozmice - ŽENY </v>
      </c>
      <c r="O2" s="309"/>
      <c r="P2" s="309"/>
      <c r="Q2" s="309"/>
      <c r="R2" s="309"/>
      <c r="S2" s="309"/>
      <c r="T2" s="320"/>
      <c r="U2" s="320"/>
      <c r="V2" s="310"/>
      <c r="W2" s="180"/>
      <c r="X2" s="180"/>
      <c r="Y2" s="15"/>
      <c r="Z2" s="324" t="str">
        <f>B2</f>
        <v xml:space="preserve">Výsledky - Soutěže 8. kola NHHL 11.8. 2023 Kozmice - MUŽI </v>
      </c>
      <c r="AA2" s="325"/>
      <c r="AB2" s="325"/>
      <c r="AC2" s="325"/>
      <c r="AD2" s="325"/>
      <c r="AE2" s="325"/>
      <c r="AF2" s="326"/>
      <c r="AH2" s="324" t="s">
        <v>134</v>
      </c>
      <c r="AI2" s="325"/>
      <c r="AJ2" s="325"/>
      <c r="AK2" s="327"/>
      <c r="AL2" s="15"/>
    </row>
    <row r="3" spans="1:42" ht="24.95" customHeight="1" thickBot="1" x14ac:dyDescent="0.45">
      <c r="B3" s="21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3" t="s">
        <v>5</v>
      </c>
      <c r="H3" s="22" t="s">
        <v>74</v>
      </c>
      <c r="I3" s="22" t="s">
        <v>73</v>
      </c>
      <c r="J3" s="1" t="s">
        <v>27</v>
      </c>
      <c r="N3" s="28" t="s">
        <v>0</v>
      </c>
      <c r="O3" s="24" t="s">
        <v>1</v>
      </c>
      <c r="P3" s="24" t="s">
        <v>2</v>
      </c>
      <c r="Q3" s="24" t="s">
        <v>3</v>
      </c>
      <c r="R3" s="24" t="s">
        <v>4</v>
      </c>
      <c r="S3" s="24" t="s">
        <v>5</v>
      </c>
      <c r="T3" s="233" t="s">
        <v>73</v>
      </c>
      <c r="U3" s="233" t="s">
        <v>74</v>
      </c>
      <c r="V3" s="29" t="s">
        <v>27</v>
      </c>
      <c r="Y3" s="15"/>
      <c r="Z3" s="58" t="s">
        <v>1</v>
      </c>
      <c r="AA3" s="59" t="s">
        <v>2</v>
      </c>
      <c r="AB3" s="59" t="s">
        <v>3</v>
      </c>
      <c r="AC3" s="59" t="s">
        <v>4</v>
      </c>
      <c r="AD3" s="59" t="s">
        <v>5</v>
      </c>
      <c r="AE3" s="59" t="s">
        <v>27</v>
      </c>
      <c r="AF3" s="60" t="s">
        <v>7</v>
      </c>
      <c r="AH3" s="58" t="s">
        <v>1</v>
      </c>
      <c r="AI3" s="59" t="s">
        <v>2</v>
      </c>
      <c r="AJ3" s="59" t="s">
        <v>7</v>
      </c>
      <c r="AK3" s="46" t="s">
        <v>27</v>
      </c>
      <c r="AL3" s="94" t="s">
        <v>73</v>
      </c>
      <c r="AM3" s="15"/>
      <c r="AP3" s="1"/>
    </row>
    <row r="4" spans="1:42" ht="24.95" customHeight="1" x14ac:dyDescent="0.4">
      <c r="B4" s="6"/>
      <c r="C4" s="1" t="str">
        <f>IF(Tabulka171013253137434955[[#This Row],[ ]]="","",IF(Tabulka171013253137434955[[#This Row],[ ]]="NEÚČAST","",IF(OR(Tabulka171013253137434955[Výsledný čas]="N",Tabulka171013253137434955[Výsledný čas]="D"),$L$4-$L$5,_xlfn.RANK.EQ(Tabulka171013253137434955[[#This Row],[ ]],Tabulka171013253137434955[[ ]],1))))</f>
        <v/>
      </c>
      <c r="D4" s="7"/>
      <c r="E4" s="8"/>
      <c r="F4" s="8"/>
      <c r="G4" s="9" t="str">
        <f>IF(OR(Tabulka171013253137434955[[#This Row],[LP]]="N",Tabulka171013253137434955[[#This Row],[PP]]="N"),"N",IF(OR(Tabulka171013253137434955[[#This Row],[LP]]="D",Tabulka171013253137434955[[#This Row],[PP]]="D"),"D",IF(OR(Tabulka171013253137434955[[#This Row],[LP]]="NEÚČAST",Tabulka171013253137434955[[#This Row],[PP]]="NEÚČAST"),"NEÚČAST",IF(OR(Tabulka171013253137434955[[#This Row],[LP]]="",Tabulka171013253137434955[[#This Row],[PP]]=""),"",MAX(Tabulka171013253137434955[[#This Row],[LP]:[PP]])))))</f>
        <v/>
      </c>
      <c r="H4" s="1">
        <f>COUNTIF(Tabulka171013253137434955[[#This Row],[Tým]],"*")</f>
        <v>0</v>
      </c>
      <c r="I4" s="1">
        <f>COUNTIF(Tabulka171013253137434955[[#This Row],[Výsledný čas]],"NEÚČAST")</f>
        <v>0</v>
      </c>
      <c r="J4" s="1" t="str">
        <f>IF(Tabulka171013253137434955[[#This Row],[Výsledný čas]]="N",998,IF(Tabulka171013253137434955[[#This Row],[Výsledný čas]]="D",998,IF(Tabulka171013253137434955[[#This Row],[Výsledný čas]]="","",Tabulka171013253137434955[[#This Row],[Výsledný čas]])))</f>
        <v/>
      </c>
      <c r="L4" s="1">
        <f>SUM(Tabulka171013253137434955[Sloupec2])</f>
        <v>0</v>
      </c>
      <c r="N4" s="30"/>
      <c r="O4" s="25" t="str">
        <f>IF(Tabulka1710136303642485460[[#This Row],[ ]]="","",IF(Tabulka1710136303642485460[[#This Row],[ ]]="NEÚČAST","",IF(OR(Tabulka1710136303642485460[Výsledný čas]="N",Tabulka1710136303642485460[Výsledný čas]="D"),$X$4-$X$5,_xlfn.RANK.EQ(Tabulka1710136303642485460[[#This Row],[ ]],Tabulka1710136303642485460[[ ]],1))))</f>
        <v/>
      </c>
      <c r="P4" s="26"/>
      <c r="Q4" s="5"/>
      <c r="R4" s="5"/>
      <c r="S4" s="25" t="str">
        <f>IF(OR(Tabulka1710136303642485460[[#This Row],[LP]]="N",Tabulka1710136303642485460[[#This Row],[PP]]="N"),"N",IF(OR(Tabulka1710136303642485460[[#This Row],[LP]]="D",Tabulka1710136303642485460[[#This Row],[PP]]="D"),"D",IF(OR(Tabulka1710136303642485460[[#This Row],[LP]]="NEÚČAST",Tabulka1710136303642485460[[#This Row],[PP]]="NEÚČAST"),"NEÚČAST",IF(OR(Tabulka1710136303642485460[[#This Row],[LP]]="",Tabulka1710136303642485460[[#This Row],[PP]]=""),"",MAX(Tabulka1710136303642485460[[#This Row],[LP]:[PP]])))))</f>
        <v/>
      </c>
      <c r="T4" s="46">
        <f>COUNTIF(Tabulka1710136303642485460[[#This Row],[Tým]],"*")</f>
        <v>0</v>
      </c>
      <c r="U4" s="46">
        <f>COUNTIF(Tabulka1710136303642485460[[#This Row],[Výsledný čas]],"NEÚČAST")</f>
        <v>0</v>
      </c>
      <c r="V4" s="29" t="str">
        <f>IF(Tabulka1710136303642485460[[#This Row],[Výsledný čas]]="N",998,IF(Tabulka1710136303642485460[[#This Row],[Výsledný čas]]="D",998,IF(Tabulka1710136303642485460[[#This Row],[Výsledný čas]]="","",Tabulka1710136303642485460[[#This Row],[Výsledný čas]])))</f>
        <v/>
      </c>
      <c r="X4" s="1">
        <f>SUM(Tabulka1710136303642485460[Sloupec1])</f>
        <v>0</v>
      </c>
      <c r="Y4" s="15"/>
      <c r="Z4" s="77" t="e">
        <f>IF(OR(Tabulka381114263238445056[Výsledný čas]="N",Tabulka381114263238445056[Výsledný čas]="D",Tabulka381114263238445056[Výsledný čas]="NEÚČAST"),Uvod!$E$4,_xlfn.RANK.EQ(Tabulka381114263238445056[[#This Row],[ ]],Tabulka381114263238445056[[ ]],1))</f>
        <v>#N/A</v>
      </c>
      <c r="AA4" s="78" t="s">
        <v>19</v>
      </c>
      <c r="AB4" s="79" t="e">
        <f>VLOOKUP(Tabulka381114263238445056[[#This Row],[Tým]],Tabulka171013253137434955[[Tým]:[ ]],2,FALSE)</f>
        <v>#N/A</v>
      </c>
      <c r="AC4" s="79" t="e">
        <f>VLOOKUP(Tabulka381114263238445056[[#This Row],[Tým]],Tabulka171013253137434955[[Tým]:[ ]],3,FALSE)</f>
        <v>#N/A</v>
      </c>
      <c r="AD4" s="80" t="e">
        <f>VLOOKUP(Tabulka381114263238445056[[#This Row],[Tým]],Tabulka171013253137434955[[Tým]:[ ]],4,FALSE)</f>
        <v>#N/A</v>
      </c>
      <c r="AE4" s="80" t="e">
        <f>VLOOKUP(Tabulka381114263238445056[[#This Row],[Tým]],Tabulka171013253137434955[[Tým]:[ ]],7,FALSE)</f>
        <v>#N/A</v>
      </c>
      <c r="AF4" s="81" t="e">
        <f>IF(Tabulka381114263238445056[[#This Row],[Výsledný čas]]="N",5,IF(Tabulka381114263238445056[[#This Row],[Výsledný čas]]="D",0,IF(Tabulka381114263238445056[[#This Row],[Výsledný čas]]="NEÚČAST",0,Tabulka4[[#Totals],[Týmy muži]]+6-Tabulka381114263238445056[[#This Row],[Umístění]])))</f>
        <v>#N/A</v>
      </c>
      <c r="AH4" s="77" t="e">
        <f>_xlfn.RANK.EQ(Tabulka591215273339455157[[#This Row],[Body]],Tabulka591215273339455157[Body],0)</f>
        <v>#N/A</v>
      </c>
      <c r="AI4" s="78" t="s">
        <v>19</v>
      </c>
      <c r="AJ4" s="81" t="e">
        <f>VLOOKUP(Tabulka591215273339455157[[#This Row],[Tým]],Tabulka381114263238445056[[Tým]:[Body]],6,FALSE)+Tabulka591215273339455157[[#This Row],[ ]]</f>
        <v>#N/A</v>
      </c>
      <c r="AK4" s="82">
        <f>VLOOKUP(Tabulka591215273339455157[[#This Row],[Tým]],Tabulka5912152733394551[[Tým]:[Body]],2,FALSE)</f>
        <v>156</v>
      </c>
      <c r="AL4" s="92" t="e">
        <f>Tabulka591215273339455157[[#This Row],[Umístění]]</f>
        <v>#N/A</v>
      </c>
      <c r="AM4" s="15"/>
      <c r="AP4" s="1"/>
    </row>
    <row r="5" spans="1:42" ht="24.95" customHeight="1" x14ac:dyDescent="0.4">
      <c r="B5" s="6"/>
      <c r="C5" s="1" t="str">
        <f>IF(Tabulka171013253137434955[[#This Row],[ ]]="","",IF(Tabulka171013253137434955[[#This Row],[ ]]="NEÚČAST","",IF(OR(Tabulka171013253137434955[Výsledný čas]="N",Tabulka171013253137434955[Výsledný čas]="D"),$L$4-$L$5,_xlfn.RANK.EQ(Tabulka171013253137434955[[#This Row],[ ]],Tabulka171013253137434955[[ ]],1))))</f>
        <v/>
      </c>
      <c r="D5" s="7"/>
      <c r="E5" s="8"/>
      <c r="F5" s="8"/>
      <c r="G5" s="9" t="str">
        <f>IF(OR(Tabulka171013253137434955[[#This Row],[LP]]="N",Tabulka171013253137434955[[#This Row],[PP]]="N"),"N",IF(OR(Tabulka171013253137434955[[#This Row],[LP]]="D",Tabulka171013253137434955[[#This Row],[PP]]="D"),"D",IF(OR(Tabulka171013253137434955[[#This Row],[LP]]="NEÚČAST",Tabulka171013253137434955[[#This Row],[PP]]="NEÚČAST"),"NEÚČAST",IF(OR(Tabulka171013253137434955[[#This Row],[LP]]="",Tabulka171013253137434955[[#This Row],[PP]]=""),"",MAX(Tabulka171013253137434955[[#This Row],[LP]:[PP]])))))</f>
        <v/>
      </c>
      <c r="H5" s="1">
        <f>COUNTIF(Tabulka171013253137434955[[#This Row],[Tým]],"*")</f>
        <v>0</v>
      </c>
      <c r="I5" s="1">
        <f>COUNTIF(Tabulka171013253137434955[[#This Row],[Výsledný čas]],"NEÚČAST")</f>
        <v>0</v>
      </c>
      <c r="J5" s="1" t="str">
        <f>IF(Tabulka171013253137434955[[#This Row],[Výsledný čas]]="N",998,IF(Tabulka171013253137434955[[#This Row],[Výsledný čas]]="D",998,IF(Tabulka171013253137434955[[#This Row],[Výsledný čas]]="","",Tabulka171013253137434955[[#This Row],[Výsledný čas]])))</f>
        <v/>
      </c>
      <c r="L5" s="1">
        <f>SUM(Tabulka171013253137434955[Sloupec1])</f>
        <v>0</v>
      </c>
      <c r="N5" s="30"/>
      <c r="O5" s="25" t="str">
        <f>IF(Tabulka1710136303642485460[[#This Row],[ ]]="","",IF(Tabulka1710136303642485460[[#This Row],[ ]]="NEÚČAST","",IF(OR(Tabulka1710136303642485460[Výsledný čas]="N",Tabulka1710136303642485460[Výsledný čas]="D"),$X$4-$X$5,_xlfn.RANK.EQ(Tabulka1710136303642485460[[#This Row],[ ]],Tabulka1710136303642485460[[ ]],1))))</f>
        <v/>
      </c>
      <c r="P5" s="26"/>
      <c r="Q5" s="5"/>
      <c r="R5" s="5"/>
      <c r="S5" s="25" t="str">
        <f>IF(OR(Tabulka1710136303642485460[[#This Row],[LP]]="N",Tabulka1710136303642485460[[#This Row],[PP]]="N"),"N",IF(OR(Tabulka1710136303642485460[[#This Row],[LP]]="D",Tabulka1710136303642485460[[#This Row],[PP]]="D"),"D",IF(OR(Tabulka1710136303642485460[[#This Row],[LP]]="NEÚČAST",Tabulka1710136303642485460[[#This Row],[PP]]="NEÚČAST"),"NEÚČAST",IF(OR(Tabulka1710136303642485460[[#This Row],[LP]]="",Tabulka1710136303642485460[[#This Row],[PP]]=""),"",MAX(Tabulka1710136303642485460[[#This Row],[LP]:[PP]])))))</f>
        <v/>
      </c>
      <c r="T5" s="46">
        <f>COUNTIF(Tabulka1710136303642485460[[#This Row],[Tým]],"*")</f>
        <v>0</v>
      </c>
      <c r="U5" s="46">
        <f>COUNTIF(Tabulka1710136303642485460[[#This Row],[Výsledný čas]],"NEÚČAST")</f>
        <v>0</v>
      </c>
      <c r="V5" s="29" t="str">
        <f>IF(Tabulka1710136303642485460[[#This Row],[Výsledný čas]]="N",998,IF(Tabulka1710136303642485460[[#This Row],[Výsledný čas]]="D",998,IF(Tabulka1710136303642485460[[#This Row],[Výsledný čas]]="","",Tabulka1710136303642485460[[#This Row],[Výsledný čas]])))</f>
        <v/>
      </c>
      <c r="X5" s="1">
        <f>SUM(Tabulka1710136303642485460[Sloupec2])</f>
        <v>0</v>
      </c>
      <c r="Y5" s="15"/>
      <c r="Z5" s="31" t="e">
        <f>IF(OR(Tabulka381114263238445056[Výsledný čas]="N",Tabulka381114263238445056[Výsledný čas]="D",Tabulka381114263238445056[Výsledný čas]="NEÚČAST"),Uvod!$E$4,_xlfn.RANK.EQ(Tabulka381114263238445056[[#This Row],[ ]],Tabulka381114263238445056[[ ]],1))</f>
        <v>#N/A</v>
      </c>
      <c r="AA5" s="51" t="s">
        <v>30</v>
      </c>
      <c r="AB5" s="44" t="e">
        <f>VLOOKUP(Tabulka381114263238445056[[#This Row],[Tým]],Tabulka171013253137434955[[Tým]:[ ]],2,FALSE)</f>
        <v>#N/A</v>
      </c>
      <c r="AC5" s="44" t="e">
        <f>VLOOKUP(Tabulka381114263238445056[[#This Row],[Tým]],Tabulka171013253137434955[[Tým]:[ ]],3,FALSE)</f>
        <v>#N/A</v>
      </c>
      <c r="AD5" s="25" t="e">
        <f>VLOOKUP(Tabulka381114263238445056[[#This Row],[Tým]],Tabulka171013253137434955[[Tým]:[ ]],4,FALSE)</f>
        <v>#N/A</v>
      </c>
      <c r="AE5" s="25" t="e">
        <f>VLOOKUP(Tabulka381114263238445056[[#This Row],[Tým]],Tabulka171013253137434955[[Tým]:[ ]],7,FALSE)</f>
        <v>#N/A</v>
      </c>
      <c r="AF5" s="29" t="e">
        <f>IF(Tabulka381114263238445056[[#This Row],[Výsledný čas]]="N",5,IF(Tabulka381114263238445056[[#This Row],[Výsledný čas]]="D",0,IF(Tabulka381114263238445056[[#This Row],[Výsledný čas]]="NEÚČAST",0,Tabulka4[[#Totals],[Týmy muži]]+6-Tabulka381114263238445056[[#This Row],[Umístění]])))</f>
        <v>#N/A</v>
      </c>
      <c r="AH5" s="31" t="e">
        <f>_xlfn.RANK.EQ(Tabulka591215273339455157[[#This Row],[Body]],Tabulka591215273339455157[Body],0)</f>
        <v>#N/A</v>
      </c>
      <c r="AI5" s="51" t="s">
        <v>30</v>
      </c>
      <c r="AJ5" s="29" t="e">
        <f>VLOOKUP(Tabulka591215273339455157[[#This Row],[Tým]],Tabulka381114263238445056[[Tým]:[Body]],6,FALSE)+Tabulka591215273339455157[[#This Row],[ ]]</f>
        <v>#N/A</v>
      </c>
      <c r="AK5" s="82">
        <f>VLOOKUP(Tabulka591215273339455157[[#This Row],[Tým]],Tabulka5912152733394551[[Tým]:[Body]],2,FALSE)</f>
        <v>139</v>
      </c>
      <c r="AL5" s="47" t="e">
        <f>Tabulka591215273339455157[[#This Row],[Umístění]]</f>
        <v>#N/A</v>
      </c>
      <c r="AM5" s="15"/>
      <c r="AP5" s="1"/>
    </row>
    <row r="6" spans="1:42" ht="24.95" customHeight="1" x14ac:dyDescent="0.4">
      <c r="B6" s="6"/>
      <c r="C6" s="1" t="str">
        <f>IF(Tabulka171013253137434955[[#This Row],[ ]]="","",IF(Tabulka171013253137434955[[#This Row],[ ]]="NEÚČAST","",IF(OR(Tabulka171013253137434955[Výsledný čas]="N",Tabulka171013253137434955[Výsledný čas]="D"),$L$4-$L$5,_xlfn.RANK.EQ(Tabulka171013253137434955[[#This Row],[ ]],Tabulka171013253137434955[[ ]],1))))</f>
        <v/>
      </c>
      <c r="D6" s="7"/>
      <c r="E6" s="8"/>
      <c r="F6" s="8"/>
      <c r="G6" s="9" t="str">
        <f>IF(OR(Tabulka171013253137434955[[#This Row],[LP]]="N",Tabulka171013253137434955[[#This Row],[PP]]="N"),"N",IF(OR(Tabulka171013253137434955[[#This Row],[LP]]="D",Tabulka171013253137434955[[#This Row],[PP]]="D"),"D",IF(OR(Tabulka171013253137434955[[#This Row],[LP]]="NEÚČAST",Tabulka171013253137434955[[#This Row],[PP]]="NEÚČAST"),"NEÚČAST",IF(OR(Tabulka171013253137434955[[#This Row],[LP]]="",Tabulka171013253137434955[[#This Row],[PP]]=""),"",MAX(Tabulka171013253137434955[[#This Row],[LP]:[PP]])))))</f>
        <v/>
      </c>
      <c r="H6" s="1">
        <f>COUNTIF(Tabulka171013253137434955[[#This Row],[Tým]],"*")</f>
        <v>0</v>
      </c>
      <c r="I6" s="1">
        <f>COUNTIF(Tabulka171013253137434955[[#This Row],[Výsledný čas]],"NEÚČAST")</f>
        <v>0</v>
      </c>
      <c r="J6" s="1" t="str">
        <f>IF(Tabulka171013253137434955[[#This Row],[Výsledný čas]]="N",998,IF(Tabulka171013253137434955[[#This Row],[Výsledný čas]]="D",998,IF(Tabulka171013253137434955[[#This Row],[Výsledný čas]]="","",Tabulka171013253137434955[[#This Row],[Výsledný čas]])))</f>
        <v/>
      </c>
      <c r="N6" s="30"/>
      <c r="O6" s="25" t="str">
        <f>IF(Tabulka1710136303642485460[[#This Row],[ ]]="","",IF(Tabulka1710136303642485460[[#This Row],[ ]]="NEÚČAST","",IF(OR(Tabulka1710136303642485460[Výsledný čas]="N",Tabulka1710136303642485460[Výsledný čas]="D"),$X$4-$X$5,_xlfn.RANK.EQ(Tabulka1710136303642485460[[#This Row],[ ]],Tabulka1710136303642485460[[ ]],1))))</f>
        <v/>
      </c>
      <c r="P6" s="26"/>
      <c r="Q6" s="5"/>
      <c r="R6" s="5"/>
      <c r="S6" s="25" t="str">
        <f>IF(OR(Tabulka1710136303642485460[[#This Row],[LP]]="N",Tabulka1710136303642485460[[#This Row],[PP]]="N"),"N",IF(OR(Tabulka1710136303642485460[[#This Row],[LP]]="D",Tabulka1710136303642485460[[#This Row],[PP]]="D"),"D",IF(OR(Tabulka1710136303642485460[[#This Row],[LP]]="NEÚČAST",Tabulka1710136303642485460[[#This Row],[PP]]="NEÚČAST"),"NEÚČAST",IF(OR(Tabulka1710136303642485460[[#This Row],[LP]]="",Tabulka1710136303642485460[[#This Row],[PP]]=""),"",MAX(Tabulka1710136303642485460[[#This Row],[LP]:[PP]])))))</f>
        <v/>
      </c>
      <c r="T6" s="46">
        <f>COUNTIF(Tabulka1710136303642485460[[#This Row],[Tým]],"*")</f>
        <v>0</v>
      </c>
      <c r="U6" s="46">
        <f>COUNTIF(Tabulka1710136303642485460[[#This Row],[Výsledný čas]],"NEÚČAST")</f>
        <v>0</v>
      </c>
      <c r="V6" s="29" t="str">
        <f>IF(Tabulka1710136303642485460[[#This Row],[Výsledný čas]]="N",998,IF(Tabulka1710136303642485460[[#This Row],[Výsledný čas]]="D",998,IF(Tabulka1710136303642485460[[#This Row],[Výsledný čas]]="","",Tabulka1710136303642485460[[#This Row],[Výsledný čas]])))</f>
        <v/>
      </c>
      <c r="Y6" s="15"/>
      <c r="Z6" s="31" t="e">
        <f>IF(OR(Tabulka381114263238445056[Výsledný čas]="N",Tabulka381114263238445056[Výsledný čas]="D",Tabulka381114263238445056[Výsledný čas]="NEÚČAST"),Uvod!$E$4,_xlfn.RANK.EQ(Tabulka381114263238445056[[#This Row],[ ]],Tabulka381114263238445056[[ ]],1))</f>
        <v>#N/A</v>
      </c>
      <c r="AA6" s="51" t="s">
        <v>22</v>
      </c>
      <c r="AB6" s="44" t="e">
        <f>VLOOKUP(Tabulka381114263238445056[[#This Row],[Tým]],Tabulka171013253137434955[[Tým]:[ ]],2,FALSE)</f>
        <v>#N/A</v>
      </c>
      <c r="AC6" s="44" t="e">
        <f>VLOOKUP(Tabulka381114263238445056[[#This Row],[Tým]],Tabulka171013253137434955[[Tým]:[ ]],3,FALSE)</f>
        <v>#N/A</v>
      </c>
      <c r="AD6" s="25" t="e">
        <f>VLOOKUP(Tabulka381114263238445056[[#This Row],[Tým]],Tabulka171013253137434955[[Tým]:[ ]],4,FALSE)</f>
        <v>#N/A</v>
      </c>
      <c r="AE6" s="25" t="e">
        <f>VLOOKUP(Tabulka381114263238445056[[#This Row],[Tým]],Tabulka171013253137434955[[Tým]:[ ]],7,FALSE)</f>
        <v>#N/A</v>
      </c>
      <c r="AF6" s="29" t="e">
        <f>IF(Tabulka381114263238445056[[#This Row],[Výsledný čas]]="N",5,IF(Tabulka381114263238445056[[#This Row],[Výsledný čas]]="D",0,IF(Tabulka381114263238445056[[#This Row],[Výsledný čas]]="NEÚČAST",0,Tabulka4[[#Totals],[Týmy muži]]+6-Tabulka381114263238445056[[#This Row],[Umístění]])))</f>
        <v>#N/A</v>
      </c>
      <c r="AH6" s="31" t="e">
        <f>_xlfn.RANK.EQ(Tabulka591215273339455157[[#This Row],[Body]],Tabulka591215273339455157[Body],0)</f>
        <v>#N/A</v>
      </c>
      <c r="AI6" s="51" t="s">
        <v>22</v>
      </c>
      <c r="AJ6" s="29" t="e">
        <f>VLOOKUP(Tabulka591215273339455157[[#This Row],[Tým]],Tabulka381114263238445056[[Tým]:[Body]],6,FALSE)+Tabulka591215273339455157[[#This Row],[ ]]</f>
        <v>#N/A</v>
      </c>
      <c r="AK6" s="82">
        <f>VLOOKUP(Tabulka591215273339455157[[#This Row],[Tým]],Tabulka5912152733394551[[Tým]:[Body]],2,FALSE)</f>
        <v>129</v>
      </c>
      <c r="AL6" s="47" t="e">
        <f>Tabulka591215273339455157[[#This Row],[Umístění]]</f>
        <v>#N/A</v>
      </c>
      <c r="AM6" s="15"/>
      <c r="AP6" s="1"/>
    </row>
    <row r="7" spans="1:42" ht="24.95" customHeight="1" x14ac:dyDescent="0.4">
      <c r="B7" s="6"/>
      <c r="C7" s="1" t="str">
        <f>IF(Tabulka171013253137434955[[#This Row],[ ]]="","",IF(Tabulka171013253137434955[[#This Row],[ ]]="NEÚČAST","",IF(OR(Tabulka171013253137434955[Výsledný čas]="N",Tabulka171013253137434955[Výsledný čas]="D"),$L$4-$L$5,_xlfn.RANK.EQ(Tabulka171013253137434955[[#This Row],[ ]],Tabulka171013253137434955[[ ]],1))))</f>
        <v/>
      </c>
      <c r="D7" s="10"/>
      <c r="E7" s="8"/>
      <c r="F7" s="8"/>
      <c r="G7" s="9" t="str">
        <f>IF(OR(Tabulka171013253137434955[[#This Row],[LP]]="N",Tabulka171013253137434955[[#This Row],[PP]]="N"),"N",IF(OR(Tabulka171013253137434955[[#This Row],[LP]]="D",Tabulka171013253137434955[[#This Row],[PP]]="D"),"D",IF(OR(Tabulka171013253137434955[[#This Row],[LP]]="NEÚČAST",Tabulka171013253137434955[[#This Row],[PP]]="NEÚČAST"),"NEÚČAST",IF(OR(Tabulka171013253137434955[[#This Row],[LP]]="",Tabulka171013253137434955[[#This Row],[PP]]=""),"",MAX(Tabulka171013253137434955[[#This Row],[LP]:[PP]])))))</f>
        <v/>
      </c>
      <c r="H7" s="1">
        <f>COUNTIF(Tabulka171013253137434955[[#This Row],[Tým]],"*")</f>
        <v>0</v>
      </c>
      <c r="I7" s="1">
        <f>COUNTIF(Tabulka171013253137434955[[#This Row],[Výsledný čas]],"NEÚČAST")</f>
        <v>0</v>
      </c>
      <c r="J7" s="1" t="str">
        <f>IF(Tabulka171013253137434955[[#This Row],[Výsledný čas]]="N",998,IF(Tabulka171013253137434955[[#This Row],[Výsledný čas]]="D",998,IF(Tabulka171013253137434955[[#This Row],[Výsledný čas]]="","",Tabulka171013253137434955[[#This Row],[Výsledný čas]])))</f>
        <v/>
      </c>
      <c r="N7" s="31"/>
      <c r="O7" s="25" t="str">
        <f>IF(Tabulka1710136303642485460[[#This Row],[ ]]="","",IF(Tabulka1710136303642485460[[#This Row],[ ]]="NEÚČAST","",IF(OR(Tabulka1710136303642485460[Výsledný čas]="N",Tabulka1710136303642485460[Výsledný čas]="D"),$X$4-$X$5,_xlfn.RANK.EQ(Tabulka1710136303642485460[[#This Row],[ ]],Tabulka1710136303642485460[[ ]],1))))</f>
        <v/>
      </c>
      <c r="P7" s="26"/>
      <c r="Q7" s="5"/>
      <c r="R7" s="5"/>
      <c r="S7" s="25" t="str">
        <f>IF(OR(Tabulka1710136303642485460[[#This Row],[LP]]="N",Tabulka1710136303642485460[[#This Row],[PP]]="N"),"N",IF(OR(Tabulka1710136303642485460[[#This Row],[LP]]="D",Tabulka1710136303642485460[[#This Row],[PP]]="D"),"D",IF(OR(Tabulka1710136303642485460[[#This Row],[LP]]="NEÚČAST",Tabulka1710136303642485460[[#This Row],[PP]]="NEÚČAST"),"NEÚČAST",IF(OR(Tabulka1710136303642485460[[#This Row],[LP]]="",Tabulka1710136303642485460[[#This Row],[PP]]=""),"",MAX(Tabulka1710136303642485460[[#This Row],[LP]:[PP]])))))</f>
        <v/>
      </c>
      <c r="T7" s="46">
        <f>COUNTIF(Tabulka1710136303642485460[[#This Row],[Tým]],"*")</f>
        <v>0</v>
      </c>
      <c r="U7" s="46">
        <f>COUNTIF(Tabulka1710136303642485460[[#This Row],[Výsledný čas]],"NEÚČAST")</f>
        <v>0</v>
      </c>
      <c r="V7" s="29" t="str">
        <f>IF(Tabulka1710136303642485460[[#This Row],[Výsledný čas]]="N",998,IF(Tabulka1710136303642485460[[#This Row],[Výsledný čas]]="D",998,IF(Tabulka1710136303642485460[[#This Row],[Výsledný čas]]="","",Tabulka1710136303642485460[[#This Row],[Výsledný čas]])))</f>
        <v/>
      </c>
      <c r="Y7" s="15"/>
      <c r="Z7" s="31" t="e">
        <f>IF(OR(Tabulka381114263238445056[Výsledný čas]="N",Tabulka381114263238445056[Výsledný čas]="D",Tabulka381114263238445056[Výsledný čas]="NEÚČAST"),Uvod!$E$4,_xlfn.RANK.EQ(Tabulka381114263238445056[[#This Row],[ ]],Tabulka381114263238445056[[ ]],1))</f>
        <v>#N/A</v>
      </c>
      <c r="AA7" s="51" t="s">
        <v>20</v>
      </c>
      <c r="AB7" s="44" t="e">
        <f>VLOOKUP(Tabulka381114263238445056[[#This Row],[Tým]],Tabulka171013253137434955[[Tým]:[ ]],2,FALSE)</f>
        <v>#N/A</v>
      </c>
      <c r="AC7" s="44" t="e">
        <f>VLOOKUP(Tabulka381114263238445056[[#This Row],[Tým]],Tabulka171013253137434955[[Tým]:[ ]],3,FALSE)</f>
        <v>#N/A</v>
      </c>
      <c r="AD7" s="25" t="e">
        <f>VLOOKUP(Tabulka381114263238445056[[#This Row],[Tým]],Tabulka171013253137434955[[Tým]:[ ]],4,FALSE)</f>
        <v>#N/A</v>
      </c>
      <c r="AE7" s="25" t="e">
        <f>VLOOKUP(Tabulka381114263238445056[[#This Row],[Tým]],Tabulka171013253137434955[[Tým]:[ ]],7,FALSE)</f>
        <v>#N/A</v>
      </c>
      <c r="AF7" s="29" t="e">
        <f>IF(Tabulka381114263238445056[[#This Row],[Výsledný čas]]="N",5,IF(Tabulka381114263238445056[[#This Row],[Výsledný čas]]="D",0,IF(Tabulka381114263238445056[[#This Row],[Výsledný čas]]="NEÚČAST",0,Tabulka4[[#Totals],[Týmy muži]]+6-Tabulka381114263238445056[[#This Row],[Umístění]])))</f>
        <v>#N/A</v>
      </c>
      <c r="AH7" s="31" t="e">
        <f>_xlfn.RANK.EQ(Tabulka591215273339455157[[#This Row],[Body]],Tabulka591215273339455157[Body],0)</f>
        <v>#N/A</v>
      </c>
      <c r="AI7" s="51" t="s">
        <v>20</v>
      </c>
      <c r="AJ7" s="29" t="e">
        <f>VLOOKUP(Tabulka591215273339455157[[#This Row],[Tým]],Tabulka381114263238445056[[Tým]:[Body]],6,FALSE)+Tabulka591215273339455157[[#This Row],[ ]]</f>
        <v>#N/A</v>
      </c>
      <c r="AK7" s="82">
        <f>VLOOKUP(Tabulka591215273339455157[[#This Row],[Tým]],Tabulka5912152733394551[[Tým]:[Body]],2,FALSE)</f>
        <v>123</v>
      </c>
      <c r="AL7" s="47" t="e">
        <f>Tabulka591215273339455157[[#This Row],[Umístění]]</f>
        <v>#N/A</v>
      </c>
      <c r="AM7" s="15"/>
      <c r="AP7" s="1"/>
    </row>
    <row r="8" spans="1:42" ht="24.95" customHeight="1" x14ac:dyDescent="0.4">
      <c r="B8" s="6"/>
      <c r="C8" s="1" t="str">
        <f>IF(Tabulka171013253137434955[[#This Row],[ ]]="","",IF(Tabulka171013253137434955[[#This Row],[ ]]="NEÚČAST","",IF(OR(Tabulka171013253137434955[Výsledný čas]="N",Tabulka171013253137434955[Výsledný čas]="D"),$L$4-$L$5,_xlfn.RANK.EQ(Tabulka171013253137434955[[#This Row],[ ]],Tabulka171013253137434955[[ ]],1))))</f>
        <v/>
      </c>
      <c r="D8" s="7"/>
      <c r="E8" s="8"/>
      <c r="F8" s="8"/>
      <c r="G8" s="9" t="str">
        <f>IF(OR(Tabulka171013253137434955[[#This Row],[LP]]="N",Tabulka171013253137434955[[#This Row],[PP]]="N"),"N",IF(OR(Tabulka171013253137434955[[#This Row],[LP]]="D",Tabulka171013253137434955[[#This Row],[PP]]="D"),"D",IF(OR(Tabulka171013253137434955[[#This Row],[LP]]="NEÚČAST",Tabulka171013253137434955[[#This Row],[PP]]="NEÚČAST"),"NEÚČAST",IF(OR(Tabulka171013253137434955[[#This Row],[LP]]="",Tabulka171013253137434955[[#This Row],[PP]]=""),"",MAX(Tabulka171013253137434955[[#This Row],[LP]:[PP]])))))</f>
        <v/>
      </c>
      <c r="H8" s="1">
        <f>COUNTIF(Tabulka171013253137434955[[#This Row],[Tým]],"*")</f>
        <v>0</v>
      </c>
      <c r="I8" s="1">
        <f>COUNTIF(Tabulka171013253137434955[[#This Row],[Výsledný čas]],"NEÚČAST")</f>
        <v>0</v>
      </c>
      <c r="J8" s="1" t="str">
        <f>IF(Tabulka171013253137434955[[#This Row],[Výsledný čas]]="N",998,IF(Tabulka171013253137434955[[#This Row],[Výsledný čas]]="D",998,IF(Tabulka171013253137434955[[#This Row],[Výsledný čas]]="","",Tabulka171013253137434955[[#This Row],[Výsledný čas]])))</f>
        <v/>
      </c>
      <c r="N8" s="31"/>
      <c r="O8" s="25" t="str">
        <f>IF(Tabulka1710136303642485460[[#This Row],[ ]]="","",IF(Tabulka1710136303642485460[[#This Row],[ ]]="NEÚČAST","",IF(OR(Tabulka1710136303642485460[Výsledný čas]="N",Tabulka1710136303642485460[Výsledný čas]="D"),$X$4-$X$5,_xlfn.RANK.EQ(Tabulka1710136303642485460[[#This Row],[ ]],Tabulka1710136303642485460[[ ]],1))))</f>
        <v/>
      </c>
      <c r="P8" s="26"/>
      <c r="Q8" s="5"/>
      <c r="R8" s="5"/>
      <c r="S8" s="25" t="str">
        <f>IF(OR(Tabulka1710136303642485460[[#This Row],[LP]]="N",Tabulka1710136303642485460[[#This Row],[PP]]="N"),"N",IF(OR(Tabulka1710136303642485460[[#This Row],[LP]]="D",Tabulka1710136303642485460[[#This Row],[PP]]="D"),"D",IF(OR(Tabulka1710136303642485460[[#This Row],[LP]]="NEÚČAST",Tabulka1710136303642485460[[#This Row],[PP]]="NEÚČAST"),"NEÚČAST",IF(OR(Tabulka1710136303642485460[[#This Row],[LP]]="",Tabulka1710136303642485460[[#This Row],[PP]]=""),"",MAX(Tabulka1710136303642485460[[#This Row],[LP]:[PP]])))))</f>
        <v/>
      </c>
      <c r="T8" s="46">
        <f>COUNTIF(Tabulka1710136303642485460[[#This Row],[Tým]],"*")</f>
        <v>0</v>
      </c>
      <c r="U8" s="46">
        <f>COUNTIF(Tabulka1710136303642485460[[#This Row],[Výsledný čas]],"NEÚČAST")</f>
        <v>0</v>
      </c>
      <c r="V8" s="29" t="str">
        <f>IF(Tabulka1710136303642485460[[#This Row],[Výsledný čas]]="N",998,IF(Tabulka1710136303642485460[[#This Row],[Výsledný čas]]="D",998,IF(Tabulka1710136303642485460[[#This Row],[Výsledný čas]]="","",Tabulka1710136303642485460[[#This Row],[Výsledný čas]])))</f>
        <v/>
      </c>
      <c r="Y8" s="15"/>
      <c r="Z8" s="31" t="e">
        <f>IF(OR(Tabulka381114263238445056[Výsledný čas]="N",Tabulka381114263238445056[Výsledný čas]="D",Tabulka381114263238445056[Výsledný čas]="NEÚČAST"),Uvod!$E$4,_xlfn.RANK.EQ(Tabulka381114263238445056[[#This Row],[ ]],Tabulka381114263238445056[[ ]],1))</f>
        <v>#N/A</v>
      </c>
      <c r="AA8" s="51" t="s">
        <v>11</v>
      </c>
      <c r="AB8" s="44" t="e">
        <f>VLOOKUP(Tabulka381114263238445056[[#This Row],[Tým]],Tabulka171013253137434955[[Tým]:[ ]],2,FALSE)</f>
        <v>#N/A</v>
      </c>
      <c r="AC8" s="44" t="e">
        <f>VLOOKUP(Tabulka381114263238445056[[#This Row],[Tým]],Tabulka171013253137434955[[Tým]:[ ]],3,FALSE)</f>
        <v>#N/A</v>
      </c>
      <c r="AD8" s="25" t="e">
        <f>VLOOKUP(Tabulka381114263238445056[[#This Row],[Tým]],Tabulka171013253137434955[[Tým]:[ ]],4,FALSE)</f>
        <v>#N/A</v>
      </c>
      <c r="AE8" s="25" t="e">
        <f>VLOOKUP(Tabulka381114263238445056[[#This Row],[Tým]],Tabulka171013253137434955[[Tým]:[ ]],7,FALSE)</f>
        <v>#N/A</v>
      </c>
      <c r="AF8" s="29" t="e">
        <f>IF(Tabulka381114263238445056[[#This Row],[Výsledný čas]]="N",5,IF(Tabulka381114263238445056[[#This Row],[Výsledný čas]]="D",0,IF(Tabulka381114263238445056[[#This Row],[Výsledný čas]]="NEÚČAST",0,Tabulka4[[#Totals],[Týmy muži]]+6-Tabulka381114263238445056[[#This Row],[Umístění]])))</f>
        <v>#N/A</v>
      </c>
      <c r="AH8" s="31" t="e">
        <f>_xlfn.RANK.EQ(Tabulka591215273339455157[[#This Row],[Body]],Tabulka591215273339455157[Body],0)</f>
        <v>#N/A</v>
      </c>
      <c r="AI8" s="51" t="s">
        <v>11</v>
      </c>
      <c r="AJ8" s="29" t="e">
        <f>VLOOKUP(Tabulka591215273339455157[[#This Row],[Tým]],Tabulka381114263238445056[[Tým]:[Body]],6,FALSE)+Tabulka591215273339455157[[#This Row],[ ]]</f>
        <v>#N/A</v>
      </c>
      <c r="AK8" s="82">
        <f>VLOOKUP(Tabulka591215273339455157[[#This Row],[Tým]],Tabulka5912152733394551[[Tým]:[Body]],2,FALSE)</f>
        <v>98</v>
      </c>
      <c r="AL8" s="47" t="e">
        <f>Tabulka591215273339455157[[#This Row],[Umístění]]</f>
        <v>#N/A</v>
      </c>
      <c r="AM8" s="15"/>
      <c r="AP8" s="1"/>
    </row>
    <row r="9" spans="1:42" ht="24.95" customHeight="1" x14ac:dyDescent="0.4">
      <c r="B9" s="11"/>
      <c r="C9" s="1" t="str">
        <f>IF(Tabulka171013253137434955[[#This Row],[ ]]="","",IF(Tabulka171013253137434955[[#This Row],[ ]]="NEÚČAST","",IF(OR(Tabulka171013253137434955[Výsledný čas]="N",Tabulka171013253137434955[Výsledný čas]="D"),$L$4-$L$5,_xlfn.RANK.EQ(Tabulka171013253137434955[[#This Row],[ ]],Tabulka171013253137434955[[ ]],1))))</f>
        <v/>
      </c>
      <c r="D9" s="7"/>
      <c r="E9" s="8"/>
      <c r="F9" s="8"/>
      <c r="G9" s="9" t="str">
        <f>IF(OR(Tabulka171013253137434955[[#This Row],[LP]]="N",Tabulka171013253137434955[[#This Row],[PP]]="N"),"N",IF(OR(Tabulka171013253137434955[[#This Row],[LP]]="D",Tabulka171013253137434955[[#This Row],[PP]]="D"),"D",IF(OR(Tabulka171013253137434955[[#This Row],[LP]]="NEÚČAST",Tabulka171013253137434955[[#This Row],[PP]]="NEÚČAST"),"NEÚČAST",IF(OR(Tabulka171013253137434955[[#This Row],[LP]]="",Tabulka171013253137434955[[#This Row],[PP]]=""),"",MAX(Tabulka171013253137434955[[#This Row],[LP]:[PP]])))))</f>
        <v/>
      </c>
      <c r="H9" s="1">
        <f>COUNTIF(Tabulka171013253137434955[[#This Row],[Tým]],"*")</f>
        <v>0</v>
      </c>
      <c r="I9" s="1">
        <f>COUNTIF(Tabulka171013253137434955[[#This Row],[Výsledný čas]],"NEÚČAST")</f>
        <v>0</v>
      </c>
      <c r="J9" s="1" t="str">
        <f>IF(Tabulka171013253137434955[[#This Row],[Výsledný čas]]="N",998,IF(Tabulka171013253137434955[[#This Row],[Výsledný čas]]="D",998,IF(Tabulka171013253137434955[[#This Row],[Výsledný čas]]="","",Tabulka171013253137434955[[#This Row],[Výsledný čas]])))</f>
        <v/>
      </c>
      <c r="N9" s="30"/>
      <c r="O9" s="25" t="str">
        <f>IF(Tabulka1710136303642485460[[#This Row],[ ]]="","",IF(Tabulka1710136303642485460[[#This Row],[ ]]="NEÚČAST","",IF(OR(Tabulka1710136303642485460[Výsledný čas]="N",Tabulka1710136303642485460[Výsledný čas]="D"),$X$4-$X$5,_xlfn.RANK.EQ(Tabulka1710136303642485460[[#This Row],[ ]],Tabulka1710136303642485460[[ ]],1))))</f>
        <v/>
      </c>
      <c r="P9" s="26"/>
      <c r="Q9" s="5"/>
      <c r="R9" s="5"/>
      <c r="S9" s="25" t="str">
        <f>IF(OR(Tabulka1710136303642485460[[#This Row],[LP]]="N",Tabulka1710136303642485460[[#This Row],[PP]]="N"),"N",IF(OR(Tabulka1710136303642485460[[#This Row],[LP]]="D",Tabulka1710136303642485460[[#This Row],[PP]]="D"),"D",IF(OR(Tabulka1710136303642485460[[#This Row],[LP]]="NEÚČAST",Tabulka1710136303642485460[[#This Row],[PP]]="NEÚČAST"),"NEÚČAST",IF(OR(Tabulka1710136303642485460[[#This Row],[LP]]="",Tabulka1710136303642485460[[#This Row],[PP]]=""),"",MAX(Tabulka1710136303642485460[[#This Row],[LP]:[PP]])))))</f>
        <v/>
      </c>
      <c r="T9" s="46">
        <f>COUNTIF(Tabulka1710136303642485460[[#This Row],[Tým]],"*")</f>
        <v>0</v>
      </c>
      <c r="U9" s="46">
        <f>COUNTIF(Tabulka1710136303642485460[[#This Row],[Výsledný čas]],"NEÚČAST")</f>
        <v>0</v>
      </c>
      <c r="V9" s="29" t="str">
        <f>IF(Tabulka1710136303642485460[[#This Row],[Výsledný čas]]="N",998,IF(Tabulka1710136303642485460[[#This Row],[Výsledný čas]]="D",998,IF(Tabulka1710136303642485460[[#This Row],[Výsledný čas]]="","",Tabulka1710136303642485460[[#This Row],[Výsledný čas]])))</f>
        <v/>
      </c>
      <c r="Y9" s="15"/>
      <c r="Z9" s="31" t="e">
        <f>IF(OR(Tabulka381114263238445056[Výsledný čas]="N",Tabulka381114263238445056[Výsledný čas]="D",Tabulka381114263238445056[Výsledný čas]="NEÚČAST"),Uvod!$E$4,_xlfn.RANK.EQ(Tabulka381114263238445056[[#This Row],[ ]],Tabulka381114263238445056[[ ]],1))</f>
        <v>#N/A</v>
      </c>
      <c r="AA9" s="51" t="s">
        <v>15</v>
      </c>
      <c r="AB9" s="44" t="e">
        <f>VLOOKUP(Tabulka381114263238445056[[#This Row],[Tým]],Tabulka171013253137434955[[Tým]:[ ]],2,FALSE)</f>
        <v>#N/A</v>
      </c>
      <c r="AC9" s="44" t="e">
        <f>VLOOKUP(Tabulka381114263238445056[[#This Row],[Tým]],Tabulka171013253137434955[[Tým]:[ ]],3,FALSE)</f>
        <v>#N/A</v>
      </c>
      <c r="AD9" s="25" t="e">
        <f>VLOOKUP(Tabulka381114263238445056[[#This Row],[Tým]],Tabulka171013253137434955[[Tým]:[ ]],4,FALSE)</f>
        <v>#N/A</v>
      </c>
      <c r="AE9" s="25" t="e">
        <f>VLOOKUP(Tabulka381114263238445056[[#This Row],[Tým]],Tabulka171013253137434955[[Tým]:[ ]],7,FALSE)</f>
        <v>#N/A</v>
      </c>
      <c r="AF9" s="29" t="e">
        <f>IF(Tabulka381114263238445056[[#This Row],[Výsledný čas]]="N",5,IF(Tabulka381114263238445056[[#This Row],[Výsledný čas]]="D",0,IF(Tabulka381114263238445056[[#This Row],[Výsledný čas]]="NEÚČAST",0,Tabulka4[[#Totals],[Týmy muži]]+6-Tabulka381114263238445056[[#This Row],[Umístění]])))</f>
        <v>#N/A</v>
      </c>
      <c r="AH9" s="31" t="e">
        <f>_xlfn.RANK.EQ(Tabulka591215273339455157[[#This Row],[Body]],Tabulka591215273339455157[Body],0)</f>
        <v>#N/A</v>
      </c>
      <c r="AI9" s="51" t="s">
        <v>15</v>
      </c>
      <c r="AJ9" s="29" t="e">
        <f>VLOOKUP(Tabulka591215273339455157[[#This Row],[Tým]],Tabulka381114263238445056[[Tým]:[Body]],6,FALSE)+Tabulka591215273339455157[[#This Row],[ ]]</f>
        <v>#N/A</v>
      </c>
      <c r="AK9" s="82">
        <f>VLOOKUP(Tabulka591215273339455157[[#This Row],[Tým]],Tabulka5912152733394551[[Tým]:[Body]],2,FALSE)</f>
        <v>98</v>
      </c>
      <c r="AL9" s="47" t="e">
        <f>Tabulka591215273339455157[[#This Row],[Umístění]]</f>
        <v>#N/A</v>
      </c>
      <c r="AM9" s="15"/>
      <c r="AP9" s="1"/>
    </row>
    <row r="10" spans="1:42" ht="24.95" customHeight="1" x14ac:dyDescent="0.4">
      <c r="B10" s="6"/>
      <c r="C10" s="1" t="str">
        <f>IF(Tabulka171013253137434955[[#This Row],[ ]]="","",IF(Tabulka171013253137434955[[#This Row],[ ]]="NEÚČAST","",IF(OR(Tabulka171013253137434955[Výsledný čas]="N",Tabulka171013253137434955[Výsledný čas]="D"),$L$4-$L$5,_xlfn.RANK.EQ(Tabulka171013253137434955[[#This Row],[ ]],Tabulka171013253137434955[[ ]],1))))</f>
        <v/>
      </c>
      <c r="D10" s="7"/>
      <c r="E10" s="8"/>
      <c r="F10" s="8"/>
      <c r="G10" s="9" t="str">
        <f>IF(OR(Tabulka171013253137434955[[#This Row],[LP]]="N",Tabulka171013253137434955[[#This Row],[PP]]="N"),"N",IF(OR(Tabulka171013253137434955[[#This Row],[LP]]="D",Tabulka171013253137434955[[#This Row],[PP]]="D"),"D",IF(OR(Tabulka171013253137434955[[#This Row],[LP]]="NEÚČAST",Tabulka171013253137434955[[#This Row],[PP]]="NEÚČAST"),"NEÚČAST",IF(OR(Tabulka171013253137434955[[#This Row],[LP]]="",Tabulka171013253137434955[[#This Row],[PP]]=""),"",MAX(Tabulka171013253137434955[[#This Row],[LP]:[PP]])))))</f>
        <v/>
      </c>
      <c r="H10" s="1">
        <f>COUNTIF(Tabulka171013253137434955[[#This Row],[Tým]],"*")</f>
        <v>0</v>
      </c>
      <c r="I10" s="1">
        <f>COUNTIF(Tabulka171013253137434955[[#This Row],[Výsledný čas]],"NEÚČAST")</f>
        <v>0</v>
      </c>
      <c r="J10" s="1" t="str">
        <f>IF(Tabulka171013253137434955[[#This Row],[Výsledný čas]]="N",998,IF(Tabulka171013253137434955[[#This Row],[Výsledný čas]]="D",998,IF(Tabulka171013253137434955[[#This Row],[Výsledný čas]]="","",Tabulka171013253137434955[[#This Row],[Výsledný čas]])))</f>
        <v/>
      </c>
      <c r="N10" s="30"/>
      <c r="O10" s="25" t="str">
        <f>IF(Tabulka1710136303642485460[[#This Row],[ ]]="","",IF(Tabulka1710136303642485460[[#This Row],[ ]]="NEÚČAST","",IF(OR(Tabulka1710136303642485460[Výsledný čas]="N",Tabulka1710136303642485460[Výsledný čas]="D"),$X$4-$X$5,_xlfn.RANK.EQ(Tabulka1710136303642485460[[#This Row],[ ]],Tabulka1710136303642485460[[ ]],1))))</f>
        <v/>
      </c>
      <c r="P10" s="26"/>
      <c r="Q10" s="5"/>
      <c r="R10" s="5"/>
      <c r="S10" s="25" t="str">
        <f>IF(OR(Tabulka1710136303642485460[[#This Row],[LP]]="N",Tabulka1710136303642485460[[#This Row],[PP]]="N"),"N",IF(OR(Tabulka1710136303642485460[[#This Row],[LP]]="D",Tabulka1710136303642485460[[#This Row],[PP]]="D"),"D",IF(OR(Tabulka1710136303642485460[[#This Row],[LP]]="NEÚČAST",Tabulka1710136303642485460[[#This Row],[PP]]="NEÚČAST"),"NEÚČAST",IF(OR(Tabulka1710136303642485460[[#This Row],[LP]]="",Tabulka1710136303642485460[[#This Row],[PP]]=""),"",MAX(Tabulka1710136303642485460[[#This Row],[LP]:[PP]])))))</f>
        <v/>
      </c>
      <c r="T10" s="46">
        <f>COUNTIF(Tabulka1710136303642485460[[#This Row],[Tým]],"*")</f>
        <v>0</v>
      </c>
      <c r="U10" s="46">
        <f>COUNTIF(Tabulka1710136303642485460[[#This Row],[Výsledný čas]],"NEÚČAST")</f>
        <v>0</v>
      </c>
      <c r="V10" s="29" t="str">
        <f>IF(Tabulka1710136303642485460[[#This Row],[Výsledný čas]]="N",998,IF(Tabulka1710136303642485460[[#This Row],[Výsledný čas]]="D",998,IF(Tabulka1710136303642485460[[#This Row],[Výsledný čas]]="","",Tabulka1710136303642485460[[#This Row],[Výsledný čas]])))</f>
        <v/>
      </c>
      <c r="Y10" s="15"/>
      <c r="Z10" s="31" t="e">
        <f>IF(OR(Tabulka381114263238445056[Výsledný čas]="N",Tabulka381114263238445056[Výsledný čas]="D",Tabulka381114263238445056[Výsledný čas]="NEÚČAST"),Uvod!$E$4,_xlfn.RANK.EQ(Tabulka381114263238445056[[#This Row],[ ]],Tabulka381114263238445056[[ ]],1))</f>
        <v>#N/A</v>
      </c>
      <c r="AA10" s="51" t="s">
        <v>10</v>
      </c>
      <c r="AB10" s="44" t="e">
        <f>VLOOKUP(Tabulka381114263238445056[[#This Row],[Tým]],Tabulka171013253137434955[[Tým]:[ ]],2,FALSE)</f>
        <v>#N/A</v>
      </c>
      <c r="AC10" s="44" t="e">
        <f>VLOOKUP(Tabulka381114263238445056[[#This Row],[Tým]],Tabulka171013253137434955[[Tým]:[ ]],3,FALSE)</f>
        <v>#N/A</v>
      </c>
      <c r="AD10" s="25" t="e">
        <f>VLOOKUP(Tabulka381114263238445056[[#This Row],[Tým]],Tabulka171013253137434955[[Tým]:[ ]],4,FALSE)</f>
        <v>#N/A</v>
      </c>
      <c r="AE10" s="25" t="e">
        <f>VLOOKUP(Tabulka381114263238445056[[#This Row],[Tým]],Tabulka171013253137434955[[Tým]:[ ]],7,FALSE)</f>
        <v>#N/A</v>
      </c>
      <c r="AF10" s="29" t="e">
        <f>IF(Tabulka381114263238445056[[#This Row],[Výsledný čas]]="N",5,IF(Tabulka381114263238445056[[#This Row],[Výsledný čas]]="D",0,IF(Tabulka381114263238445056[[#This Row],[Výsledný čas]]="NEÚČAST",0,Tabulka4[[#Totals],[Týmy muži]]+6-Tabulka381114263238445056[[#This Row],[Umístění]])))</f>
        <v>#N/A</v>
      </c>
      <c r="AH10" s="31" t="e">
        <f>_xlfn.RANK.EQ(Tabulka591215273339455157[[#This Row],[Body]],Tabulka591215273339455157[Body],0)</f>
        <v>#N/A</v>
      </c>
      <c r="AI10" s="51" t="s">
        <v>10</v>
      </c>
      <c r="AJ10" s="29" t="e">
        <f>VLOOKUP(Tabulka591215273339455157[[#This Row],[Tým]],Tabulka381114263238445056[[Tým]:[Body]],6,FALSE)+Tabulka591215273339455157[[#This Row],[ ]]</f>
        <v>#N/A</v>
      </c>
      <c r="AK10" s="82">
        <f>VLOOKUP(Tabulka591215273339455157[[#This Row],[Tým]],Tabulka5912152733394551[[Tým]:[Body]],2,FALSE)</f>
        <v>132</v>
      </c>
      <c r="AL10" s="47" t="e">
        <f>Tabulka591215273339455157[[#This Row],[Umístění]]</f>
        <v>#N/A</v>
      </c>
      <c r="AM10" s="15"/>
      <c r="AP10" s="1"/>
    </row>
    <row r="11" spans="1:42" ht="24.95" customHeight="1" x14ac:dyDescent="0.4">
      <c r="B11" s="6"/>
      <c r="C11" s="1" t="str">
        <f>IF(Tabulka171013253137434955[[#This Row],[ ]]="","",IF(Tabulka171013253137434955[[#This Row],[ ]]="NEÚČAST","",IF(OR(Tabulka171013253137434955[Výsledný čas]="N",Tabulka171013253137434955[Výsledný čas]="D"),$L$4-$L$5,_xlfn.RANK.EQ(Tabulka171013253137434955[[#This Row],[ ]],Tabulka171013253137434955[[ ]],1))))</f>
        <v/>
      </c>
      <c r="D11" s="7"/>
      <c r="E11" s="8"/>
      <c r="F11" s="8"/>
      <c r="G11" s="9" t="str">
        <f>IF(OR(Tabulka171013253137434955[[#This Row],[LP]]="N",Tabulka171013253137434955[[#This Row],[PP]]="N"),"N",IF(OR(Tabulka171013253137434955[[#This Row],[LP]]="D",Tabulka171013253137434955[[#This Row],[PP]]="D"),"D",IF(OR(Tabulka171013253137434955[[#This Row],[LP]]="NEÚČAST",Tabulka171013253137434955[[#This Row],[PP]]="NEÚČAST"),"NEÚČAST",IF(OR(Tabulka171013253137434955[[#This Row],[LP]]="",Tabulka171013253137434955[[#This Row],[PP]]=""),"",MAX(Tabulka171013253137434955[[#This Row],[LP]:[PP]])))))</f>
        <v/>
      </c>
      <c r="H11" s="1">
        <f>COUNTIF(Tabulka171013253137434955[[#This Row],[Tým]],"*")</f>
        <v>0</v>
      </c>
      <c r="I11" s="1">
        <f>COUNTIF(Tabulka171013253137434955[[#This Row],[Výsledný čas]],"NEÚČAST")</f>
        <v>0</v>
      </c>
      <c r="J11" s="1" t="str">
        <f>IF(Tabulka171013253137434955[[#This Row],[Výsledný čas]]="N",998,IF(Tabulka171013253137434955[[#This Row],[Výsledný čas]]="D",998,IF(Tabulka171013253137434955[[#This Row],[Výsledný čas]]="","",Tabulka171013253137434955[[#This Row],[Výsledný čas]])))</f>
        <v/>
      </c>
      <c r="N11" s="30"/>
      <c r="O11" s="25" t="str">
        <f>IF(Tabulka1710136303642485460[[#This Row],[ ]]="","",IF(Tabulka1710136303642485460[[#This Row],[ ]]="NEÚČAST","",IF(OR(Tabulka1710136303642485460[Výsledný čas]="N",Tabulka1710136303642485460[Výsledný čas]="D"),$X$4-$X$5,_xlfn.RANK.EQ(Tabulka1710136303642485460[[#This Row],[ ]],Tabulka1710136303642485460[[ ]],1))))</f>
        <v/>
      </c>
      <c r="P11" s="26"/>
      <c r="Q11" s="5"/>
      <c r="R11" s="5"/>
      <c r="S11" s="25" t="str">
        <f>IF(OR(Tabulka1710136303642485460[[#This Row],[LP]]="N",Tabulka1710136303642485460[[#This Row],[PP]]="N"),"N",IF(OR(Tabulka1710136303642485460[[#This Row],[LP]]="D",Tabulka1710136303642485460[[#This Row],[PP]]="D"),"D",IF(OR(Tabulka1710136303642485460[[#This Row],[LP]]="NEÚČAST",Tabulka1710136303642485460[[#This Row],[PP]]="NEÚČAST"),"NEÚČAST",IF(OR(Tabulka1710136303642485460[[#This Row],[LP]]="",Tabulka1710136303642485460[[#This Row],[PP]]=""),"",MAX(Tabulka1710136303642485460[[#This Row],[LP]:[PP]])))))</f>
        <v/>
      </c>
      <c r="T11" s="46">
        <f>COUNTIF(Tabulka1710136303642485460[[#This Row],[Tým]],"*")</f>
        <v>0</v>
      </c>
      <c r="U11" s="46">
        <f>COUNTIF(Tabulka1710136303642485460[[#This Row],[Výsledný čas]],"NEÚČAST")</f>
        <v>0</v>
      </c>
      <c r="V11" s="29" t="str">
        <f>IF(Tabulka1710136303642485460[[#This Row],[Výsledný čas]]="N",998,IF(Tabulka1710136303642485460[[#This Row],[Výsledný čas]]="D",998,IF(Tabulka1710136303642485460[[#This Row],[Výsledný čas]]="","",Tabulka1710136303642485460[[#This Row],[Výsledný čas]])))</f>
        <v/>
      </c>
      <c r="Y11" s="15"/>
      <c r="Z11" s="31" t="e">
        <f>IF(OR(Tabulka381114263238445056[Výsledný čas]="N",Tabulka381114263238445056[Výsledný čas]="D",Tabulka381114263238445056[Výsledný čas]="NEÚČAST"),Uvod!$E$4,_xlfn.RANK.EQ(Tabulka381114263238445056[[#This Row],[ ]],Tabulka381114263238445056[[ ]],1))</f>
        <v>#N/A</v>
      </c>
      <c r="AA11" s="51" t="s">
        <v>18</v>
      </c>
      <c r="AB11" s="44" t="e">
        <f>VLOOKUP(Tabulka381114263238445056[[#This Row],[Tým]],Tabulka171013253137434955[[Tým]:[ ]],2,FALSE)</f>
        <v>#N/A</v>
      </c>
      <c r="AC11" s="44" t="e">
        <f>VLOOKUP(Tabulka381114263238445056[[#This Row],[Tým]],Tabulka171013253137434955[[Tým]:[ ]],3,FALSE)</f>
        <v>#N/A</v>
      </c>
      <c r="AD11" s="25" t="e">
        <f>VLOOKUP(Tabulka381114263238445056[[#This Row],[Tým]],Tabulka171013253137434955[[Tým]:[ ]],4,FALSE)</f>
        <v>#N/A</v>
      </c>
      <c r="AE11" s="25" t="e">
        <f>VLOOKUP(Tabulka381114263238445056[[#This Row],[Tým]],Tabulka171013253137434955[[Tým]:[ ]],7,FALSE)</f>
        <v>#N/A</v>
      </c>
      <c r="AF11" s="29" t="e">
        <f>IF(Tabulka381114263238445056[[#This Row],[Výsledný čas]]="N",5,IF(Tabulka381114263238445056[[#This Row],[Výsledný čas]]="D",0,IF(Tabulka381114263238445056[[#This Row],[Výsledný čas]]="NEÚČAST",0,Tabulka4[[#Totals],[Týmy muži]]+6-Tabulka381114263238445056[[#This Row],[Umístění]])))</f>
        <v>#N/A</v>
      </c>
      <c r="AH11" s="31" t="e">
        <f>_xlfn.RANK.EQ(Tabulka591215273339455157[[#This Row],[Body]],Tabulka591215273339455157[Body],0)</f>
        <v>#N/A</v>
      </c>
      <c r="AI11" s="51" t="s">
        <v>18</v>
      </c>
      <c r="AJ11" s="29" t="e">
        <f>VLOOKUP(Tabulka591215273339455157[[#This Row],[Tým]],Tabulka381114263238445056[[Tým]:[Body]],6,FALSE)+Tabulka591215273339455157[[#This Row],[ ]]</f>
        <v>#N/A</v>
      </c>
      <c r="AK11" s="82">
        <f>VLOOKUP(Tabulka591215273339455157[[#This Row],[Tým]],Tabulka5912152733394551[[Tým]:[Body]],2,FALSE)</f>
        <v>109</v>
      </c>
      <c r="AL11" s="47" t="e">
        <f>Tabulka591215273339455157[[#This Row],[Umístění]]</f>
        <v>#N/A</v>
      </c>
      <c r="AM11" s="15"/>
      <c r="AP11" s="1"/>
    </row>
    <row r="12" spans="1:42" ht="24.95" customHeight="1" x14ac:dyDescent="0.4">
      <c r="B12" s="6"/>
      <c r="C12" s="1" t="str">
        <f>IF(Tabulka171013253137434955[[#This Row],[ ]]="","",IF(Tabulka171013253137434955[[#This Row],[ ]]="NEÚČAST","",IF(OR(Tabulka171013253137434955[Výsledný čas]="N",Tabulka171013253137434955[Výsledný čas]="D"),$L$4-$L$5,_xlfn.RANK.EQ(Tabulka171013253137434955[[#This Row],[ ]],Tabulka171013253137434955[[ ]],1))))</f>
        <v/>
      </c>
      <c r="D12" s="7"/>
      <c r="E12" s="8"/>
      <c r="F12" s="8"/>
      <c r="G12" s="9" t="str">
        <f>IF(OR(Tabulka171013253137434955[[#This Row],[LP]]="N",Tabulka171013253137434955[[#This Row],[PP]]="N"),"N",IF(OR(Tabulka171013253137434955[[#This Row],[LP]]="D",Tabulka171013253137434955[[#This Row],[PP]]="D"),"D",IF(OR(Tabulka171013253137434955[[#This Row],[LP]]="NEÚČAST",Tabulka171013253137434955[[#This Row],[PP]]="NEÚČAST"),"NEÚČAST",IF(OR(Tabulka171013253137434955[[#This Row],[LP]]="",Tabulka171013253137434955[[#This Row],[PP]]=""),"",MAX(Tabulka171013253137434955[[#This Row],[LP]:[PP]])))))</f>
        <v/>
      </c>
      <c r="H12" s="1">
        <f>COUNTIF(Tabulka171013253137434955[[#This Row],[Tým]],"*")</f>
        <v>0</v>
      </c>
      <c r="I12" s="1">
        <f>COUNTIF(Tabulka171013253137434955[[#This Row],[Výsledný čas]],"NEÚČAST")</f>
        <v>0</v>
      </c>
      <c r="J12" s="1" t="str">
        <f>IF(Tabulka171013253137434955[[#This Row],[Výsledný čas]]="N",998,IF(Tabulka171013253137434955[[#This Row],[Výsledný čas]]="D",998,IF(Tabulka171013253137434955[[#This Row],[Výsledný čas]]="","",Tabulka171013253137434955[[#This Row],[Výsledný čas]])))</f>
        <v/>
      </c>
      <c r="N12" s="58"/>
      <c r="O12" s="59" t="str">
        <f>IF(Tabulka1710136303642485460[[#This Row],[ ]]="","",IF(Tabulka1710136303642485460[[#This Row],[ ]]="NEÚČAST","",IF(OR(Tabulka1710136303642485460[Výsledný čas]="N",Tabulka1710136303642485460[Výsledný čas]="D"),$X$4-$X$5,_xlfn.RANK.EQ(Tabulka1710136303642485460[[#This Row],[ ]],Tabulka1710136303642485460[[ ]],1))))</f>
        <v/>
      </c>
      <c r="P12" s="89"/>
      <c r="Q12" s="90"/>
      <c r="R12" s="90"/>
      <c r="S12" s="59" t="str">
        <f>IF(OR(Tabulka1710136303642485460[[#This Row],[LP]]="N",Tabulka1710136303642485460[[#This Row],[PP]]="N"),"N",IF(OR(Tabulka1710136303642485460[[#This Row],[LP]]="D",Tabulka1710136303642485460[[#This Row],[PP]]="D"),"D",IF(OR(Tabulka1710136303642485460[[#This Row],[LP]]="NEÚČAST",Tabulka1710136303642485460[[#This Row],[PP]]="NEÚČAST"),"NEÚČAST",IF(OR(Tabulka1710136303642485460[[#This Row],[LP]]="",Tabulka1710136303642485460[[#This Row],[PP]]=""),"",MAX(Tabulka1710136303642485460[[#This Row],[LP]:[PP]])))))</f>
        <v/>
      </c>
      <c r="T12" s="158">
        <f>COUNTIF(Tabulka1710136303642485460[[#This Row],[Tým]],"*")</f>
        <v>0</v>
      </c>
      <c r="U12" s="158">
        <f>COUNTIF(Tabulka1710136303642485460[[#This Row],[Výsledný čas]],"NEÚČAST")</f>
        <v>0</v>
      </c>
      <c r="V12" s="60" t="str">
        <f>IF(Tabulka1710136303642485460[[#This Row],[Výsledný čas]]="N",998,IF(Tabulka1710136303642485460[[#This Row],[Výsledný čas]]="D",998,IF(Tabulka1710136303642485460[[#This Row],[Výsledný čas]]="","",Tabulka1710136303642485460[[#This Row],[Výsledný čas]])))</f>
        <v/>
      </c>
      <c r="Y12" s="15"/>
      <c r="Z12" s="31" t="e">
        <f>IF(OR(Tabulka381114263238445056[Výsledný čas]="N",Tabulka381114263238445056[Výsledný čas]="D",Tabulka381114263238445056[Výsledný čas]="NEÚČAST"),Uvod!$E$4,_xlfn.RANK.EQ(Tabulka381114263238445056[[#This Row],[ ]],Tabulka381114263238445056[[ ]],1))</f>
        <v>#N/A</v>
      </c>
      <c r="AA12" s="51" t="s">
        <v>23</v>
      </c>
      <c r="AB12" s="44" t="e">
        <f>VLOOKUP(Tabulka381114263238445056[[#This Row],[Tým]],Tabulka171013253137434955[[Tým]:[ ]],2,FALSE)</f>
        <v>#N/A</v>
      </c>
      <c r="AC12" s="44" t="e">
        <f>VLOOKUP(Tabulka381114263238445056[[#This Row],[Tým]],Tabulka171013253137434955[[Tým]:[ ]],3,FALSE)</f>
        <v>#N/A</v>
      </c>
      <c r="AD12" s="25" t="e">
        <f>VLOOKUP(Tabulka381114263238445056[[#This Row],[Tým]],Tabulka171013253137434955[[Tým]:[ ]],4,FALSE)</f>
        <v>#N/A</v>
      </c>
      <c r="AE12" s="25" t="e">
        <f>VLOOKUP(Tabulka381114263238445056[[#This Row],[Tým]],Tabulka171013253137434955[[Tým]:[ ]],7,FALSE)</f>
        <v>#N/A</v>
      </c>
      <c r="AF12" s="29" t="e">
        <f>IF(Tabulka381114263238445056[[#This Row],[Výsledný čas]]="N",5,IF(Tabulka381114263238445056[[#This Row],[Výsledný čas]]="D",0,IF(Tabulka381114263238445056[[#This Row],[Výsledný čas]]="NEÚČAST",0,Tabulka4[[#Totals],[Týmy muži]]+6-Tabulka381114263238445056[[#This Row],[Umístění]])))</f>
        <v>#N/A</v>
      </c>
      <c r="AH12" s="31" t="e">
        <f>_xlfn.RANK.EQ(Tabulka591215273339455157[[#This Row],[Body]],Tabulka591215273339455157[Body],0)</f>
        <v>#N/A</v>
      </c>
      <c r="AI12" s="51" t="s">
        <v>23</v>
      </c>
      <c r="AJ12" s="29" t="e">
        <f>VLOOKUP(Tabulka591215273339455157[[#This Row],[Tým]],Tabulka381114263238445056[[Tým]:[Body]],6,FALSE)+Tabulka591215273339455157[[#This Row],[ ]]</f>
        <v>#N/A</v>
      </c>
      <c r="AK12" s="82">
        <f>VLOOKUP(Tabulka591215273339455157[[#This Row],[Tým]],Tabulka5912152733394551[[Tým]:[Body]],2,FALSE)</f>
        <v>139</v>
      </c>
      <c r="AL12" s="47" t="e">
        <f>Tabulka591215273339455157[[#This Row],[Umístění]]</f>
        <v>#N/A</v>
      </c>
      <c r="AM12" s="15"/>
      <c r="AP12" s="1"/>
    </row>
    <row r="13" spans="1:42" ht="24.95" customHeight="1" x14ac:dyDescent="0.4">
      <c r="B13" s="6"/>
      <c r="C13" s="1" t="str">
        <f>IF(Tabulka171013253137434955[[#This Row],[ ]]="","",IF(Tabulka171013253137434955[[#This Row],[ ]]="NEÚČAST","",IF(OR(Tabulka171013253137434955[Výsledný čas]="N",Tabulka171013253137434955[Výsledný čas]="D"),$L$4-$L$5,_xlfn.RANK.EQ(Tabulka171013253137434955[[#This Row],[ ]],Tabulka171013253137434955[[ ]],1))))</f>
        <v/>
      </c>
      <c r="D13" s="7"/>
      <c r="E13" s="8"/>
      <c r="F13" s="8"/>
      <c r="G13" s="9" t="str">
        <f>IF(OR(Tabulka171013253137434955[[#This Row],[LP]]="N",Tabulka171013253137434955[[#This Row],[PP]]="N"),"N",IF(OR(Tabulka171013253137434955[[#This Row],[LP]]="D",Tabulka171013253137434955[[#This Row],[PP]]="D"),"D",IF(OR(Tabulka171013253137434955[[#This Row],[LP]]="NEÚČAST",Tabulka171013253137434955[[#This Row],[PP]]="NEÚČAST"),"NEÚČAST",IF(OR(Tabulka171013253137434955[[#This Row],[LP]]="",Tabulka171013253137434955[[#This Row],[PP]]=""),"",MAX(Tabulka171013253137434955[[#This Row],[LP]:[PP]])))))</f>
        <v/>
      </c>
      <c r="H13" s="1">
        <f>COUNTIF(Tabulka171013253137434955[[#This Row],[Tým]],"*")</f>
        <v>0</v>
      </c>
      <c r="I13" s="1">
        <f>COUNTIF(Tabulka171013253137434955[[#This Row],[Výsledný čas]],"NEÚČAST")</f>
        <v>0</v>
      </c>
      <c r="J13" s="1" t="str">
        <f>IF(Tabulka171013253137434955[[#This Row],[Výsledný čas]]="N",998,IF(Tabulka171013253137434955[[#This Row],[Výsledný čas]]="D",998,IF(Tabulka171013253137434955[[#This Row],[Výsledný čas]]="","",Tabulka171013253137434955[[#This Row],[Výsledný čas]])))</f>
        <v/>
      </c>
      <c r="P13" s="7"/>
      <c r="Q13" s="8"/>
      <c r="R13" s="8"/>
      <c r="Z13" s="31" t="e">
        <f>IF(OR(Tabulka381114263238445056[Výsledný čas]="N",Tabulka381114263238445056[Výsledný čas]="D",Tabulka381114263238445056[Výsledný čas]="NEÚČAST"),Uvod!$E$4,_xlfn.RANK.EQ(Tabulka381114263238445056[[#This Row],[ ]],Tabulka381114263238445056[[ ]],1))</f>
        <v>#N/A</v>
      </c>
      <c r="AA13" s="51" t="s">
        <v>6</v>
      </c>
      <c r="AB13" s="44" t="e">
        <f>VLOOKUP(Tabulka381114263238445056[[#This Row],[Tým]],Tabulka171013253137434955[[Tým]:[ ]],2,FALSE)</f>
        <v>#N/A</v>
      </c>
      <c r="AC13" s="44" t="e">
        <f>VLOOKUP(Tabulka381114263238445056[[#This Row],[Tým]],Tabulka171013253137434955[[Tým]:[ ]],3,FALSE)</f>
        <v>#N/A</v>
      </c>
      <c r="AD13" s="25" t="e">
        <f>VLOOKUP(Tabulka381114263238445056[[#This Row],[Tým]],Tabulka171013253137434955[[Tým]:[ ]],4,FALSE)</f>
        <v>#N/A</v>
      </c>
      <c r="AE13" s="25" t="e">
        <f>VLOOKUP(Tabulka381114263238445056[[#This Row],[Tým]],Tabulka171013253137434955[[Tým]:[ ]],7,FALSE)</f>
        <v>#N/A</v>
      </c>
      <c r="AF13" s="29" t="e">
        <f>IF(Tabulka381114263238445056[[#This Row],[Výsledný čas]]="N",5,IF(Tabulka381114263238445056[[#This Row],[Výsledný čas]]="D",0,IF(Tabulka381114263238445056[[#This Row],[Výsledný čas]]="NEÚČAST",0,Tabulka4[[#Totals],[Týmy muži]]+6-Tabulka381114263238445056[[#This Row],[Umístění]])))</f>
        <v>#N/A</v>
      </c>
      <c r="AH13" s="31" t="e">
        <f>_xlfn.RANK.EQ(Tabulka591215273339455157[[#This Row],[Body]],Tabulka591215273339455157[Body],0)</f>
        <v>#N/A</v>
      </c>
      <c r="AI13" s="51" t="s">
        <v>6</v>
      </c>
      <c r="AJ13" s="29" t="e">
        <f>VLOOKUP(Tabulka591215273339455157[[#This Row],[Tým]],Tabulka381114263238445056[[Tým]:[Body]],6,FALSE)+Tabulka591215273339455157[[#This Row],[ ]]</f>
        <v>#N/A</v>
      </c>
      <c r="AK13" s="82">
        <f>VLOOKUP(Tabulka591215273339455157[[#This Row],[Tým]],Tabulka5912152733394551[[Tým]:[Body]],2,FALSE)</f>
        <v>68</v>
      </c>
      <c r="AL13" s="47" t="e">
        <f>Tabulka591215273339455157[[#This Row],[Umístění]]</f>
        <v>#N/A</v>
      </c>
      <c r="AM13" s="15"/>
      <c r="AP13" s="1"/>
    </row>
    <row r="14" spans="1:42" ht="24.95" customHeight="1" x14ac:dyDescent="0.4">
      <c r="B14" s="6"/>
      <c r="C14" s="1" t="str">
        <f>IF(Tabulka171013253137434955[[#This Row],[ ]]="","",IF(Tabulka171013253137434955[[#This Row],[ ]]="NEÚČAST","",IF(OR(Tabulka171013253137434955[Výsledný čas]="N",Tabulka171013253137434955[Výsledný čas]="D"),$L$4-$L$5,_xlfn.RANK.EQ(Tabulka171013253137434955[[#This Row],[ ]],Tabulka171013253137434955[[ ]],1))))</f>
        <v/>
      </c>
      <c r="D14" s="7"/>
      <c r="E14" s="8"/>
      <c r="F14" s="8"/>
      <c r="G14" s="9" t="str">
        <f>IF(OR(Tabulka171013253137434955[[#This Row],[LP]]="N",Tabulka171013253137434955[[#This Row],[PP]]="N"),"N",IF(OR(Tabulka171013253137434955[[#This Row],[LP]]="D",Tabulka171013253137434955[[#This Row],[PP]]="D"),"D",IF(OR(Tabulka171013253137434955[[#This Row],[LP]]="NEÚČAST",Tabulka171013253137434955[[#This Row],[PP]]="NEÚČAST"),"NEÚČAST",IF(OR(Tabulka171013253137434955[[#This Row],[LP]]="",Tabulka171013253137434955[[#This Row],[PP]]=""),"",MAX(Tabulka171013253137434955[[#This Row],[LP]:[PP]])))))</f>
        <v/>
      </c>
      <c r="H14" s="1">
        <f>COUNTIF(Tabulka171013253137434955[[#This Row],[Tým]],"*")</f>
        <v>0</v>
      </c>
      <c r="I14" s="1">
        <f>COUNTIF(Tabulka171013253137434955[[#This Row],[Výsledný čas]],"NEÚČAST")</f>
        <v>0</v>
      </c>
      <c r="J14" s="1" t="str">
        <f>IF(Tabulka171013253137434955[[#This Row],[Výsledný čas]]="N",998,IF(Tabulka171013253137434955[[#This Row],[Výsledný čas]]="D",998,IF(Tabulka171013253137434955[[#This Row],[Výsledný čas]]="","",Tabulka171013253137434955[[#This Row],[Výsledný čas]])))</f>
        <v/>
      </c>
      <c r="N14" s="68"/>
      <c r="P14" s="7"/>
      <c r="Q14" s="8"/>
      <c r="R14" s="8"/>
      <c r="Z14" s="31" t="e">
        <f>IF(OR(Tabulka381114263238445056[Výsledný čas]="N",Tabulka381114263238445056[Výsledný čas]="D",Tabulka381114263238445056[Výsledný čas]="NEÚČAST"),Uvod!$E$4,_xlfn.RANK.EQ(Tabulka381114263238445056[[#This Row],[ ]],Tabulka381114263238445056[[ ]],1))</f>
        <v>#N/A</v>
      </c>
      <c r="AA14" s="51" t="s">
        <v>31</v>
      </c>
      <c r="AB14" s="44" t="e">
        <f>VLOOKUP(Tabulka381114263238445056[[#This Row],[Tým]],Tabulka171013253137434955[[Tým]:[ ]],2,FALSE)</f>
        <v>#N/A</v>
      </c>
      <c r="AC14" s="44" t="e">
        <f>VLOOKUP(Tabulka381114263238445056[[#This Row],[Tým]],Tabulka171013253137434955[[Tým]:[ ]],3,FALSE)</f>
        <v>#N/A</v>
      </c>
      <c r="AD14" s="25" t="e">
        <f>VLOOKUP(Tabulka381114263238445056[[#This Row],[Tým]],Tabulka171013253137434955[[Tým]:[ ]],4,FALSE)</f>
        <v>#N/A</v>
      </c>
      <c r="AE14" s="25" t="e">
        <f>VLOOKUP(Tabulka381114263238445056[[#This Row],[Tým]],Tabulka171013253137434955[[Tým]:[ ]],7,FALSE)</f>
        <v>#N/A</v>
      </c>
      <c r="AF14" s="29" t="e">
        <f>IF(Tabulka381114263238445056[[#This Row],[Výsledný čas]]="N",5,IF(Tabulka381114263238445056[[#This Row],[Výsledný čas]]="D",0,IF(Tabulka381114263238445056[[#This Row],[Výsledný čas]]="NEÚČAST",0,Tabulka4[[#Totals],[Týmy muži]]+6-Tabulka381114263238445056[[#This Row],[Umístění]])))</f>
        <v>#N/A</v>
      </c>
      <c r="AH14" s="31" t="e">
        <f>_xlfn.RANK.EQ(Tabulka591215273339455157[[#This Row],[Body]],Tabulka591215273339455157[Body],0)</f>
        <v>#N/A</v>
      </c>
      <c r="AI14" s="51" t="s">
        <v>31</v>
      </c>
      <c r="AJ14" s="29" t="e">
        <f>VLOOKUP(Tabulka591215273339455157[[#This Row],[Tým]],Tabulka381114263238445056[[Tým]:[Body]],6,FALSE)+Tabulka591215273339455157[[#This Row],[ ]]</f>
        <v>#N/A</v>
      </c>
      <c r="AK14" s="82">
        <f>VLOOKUP(Tabulka591215273339455157[[#This Row],[Tým]],Tabulka5912152733394551[[Tým]:[Body]],2,FALSE)</f>
        <v>62</v>
      </c>
      <c r="AL14" s="47" t="e">
        <f>Tabulka591215273339455157[[#This Row],[Umístění]]</f>
        <v>#N/A</v>
      </c>
      <c r="AM14" s="15"/>
      <c r="AP14" s="1"/>
    </row>
    <row r="15" spans="1:42" ht="24.95" customHeight="1" x14ac:dyDescent="0.4">
      <c r="B15" s="6"/>
      <c r="C15" s="1" t="str">
        <f>IF(Tabulka171013253137434955[[#This Row],[ ]]="","",IF(Tabulka171013253137434955[[#This Row],[ ]]="NEÚČAST","",IF(OR(Tabulka171013253137434955[Výsledný čas]="N",Tabulka171013253137434955[Výsledný čas]="D"),$L$4-$L$5,_xlfn.RANK.EQ(Tabulka171013253137434955[[#This Row],[ ]],Tabulka171013253137434955[[ ]],1))))</f>
        <v/>
      </c>
      <c r="D15" s="7"/>
      <c r="E15" s="8"/>
      <c r="F15" s="8"/>
      <c r="G15" s="9" t="str">
        <f>IF(OR(Tabulka171013253137434955[[#This Row],[LP]]="N",Tabulka171013253137434955[[#This Row],[PP]]="N"),"N",IF(OR(Tabulka171013253137434955[[#This Row],[LP]]="D",Tabulka171013253137434955[[#This Row],[PP]]="D"),"D",IF(OR(Tabulka171013253137434955[[#This Row],[LP]]="NEÚČAST",Tabulka171013253137434955[[#This Row],[PP]]="NEÚČAST"),"NEÚČAST",IF(OR(Tabulka171013253137434955[[#This Row],[LP]]="",Tabulka171013253137434955[[#This Row],[PP]]=""),"",MAX(Tabulka171013253137434955[[#This Row],[LP]:[PP]])))))</f>
        <v/>
      </c>
      <c r="H15" s="1">
        <f>COUNTIF(Tabulka171013253137434955[[#This Row],[Tým]],"*")</f>
        <v>0</v>
      </c>
      <c r="I15" s="1">
        <f>COUNTIF(Tabulka171013253137434955[[#This Row],[Výsledný čas]],"NEÚČAST")</f>
        <v>0</v>
      </c>
      <c r="J15" s="1" t="str">
        <f>IF(Tabulka171013253137434955[[#This Row],[Výsledný čas]]="N",998,IF(Tabulka171013253137434955[[#This Row],[Výsledný čas]]="D",998,IF(Tabulka171013253137434955[[#This Row],[Výsledný čas]]="","",Tabulka171013253137434955[[#This Row],[Výsledný čas]])))</f>
        <v/>
      </c>
      <c r="N15" s="68"/>
      <c r="P15" s="7"/>
      <c r="Q15" s="8"/>
      <c r="R15" s="8"/>
      <c r="Z15" s="31" t="e">
        <f>IF(OR(Tabulka381114263238445056[Výsledný čas]="N",Tabulka381114263238445056[Výsledný čas]="D",Tabulka381114263238445056[Výsledný čas]="NEÚČAST"),Uvod!$E$4,_xlfn.RANK.EQ(Tabulka381114263238445056[[#This Row],[ ]],Tabulka381114263238445056[[ ]],1))</f>
        <v>#N/A</v>
      </c>
      <c r="AA15" s="51" t="s">
        <v>16</v>
      </c>
      <c r="AB15" s="44" t="e">
        <f>VLOOKUP(Tabulka381114263238445056[[#This Row],[Tým]],Tabulka171013253137434955[[Tým]:[ ]],2,FALSE)</f>
        <v>#N/A</v>
      </c>
      <c r="AC15" s="44" t="e">
        <f>VLOOKUP(Tabulka381114263238445056[[#This Row],[Tým]],Tabulka171013253137434955[[Tým]:[ ]],3,FALSE)</f>
        <v>#N/A</v>
      </c>
      <c r="AD15" s="25" t="e">
        <f>VLOOKUP(Tabulka381114263238445056[[#This Row],[Tým]],Tabulka171013253137434955[[Tým]:[ ]],4,FALSE)</f>
        <v>#N/A</v>
      </c>
      <c r="AE15" s="25" t="e">
        <f>VLOOKUP(Tabulka381114263238445056[[#This Row],[Tým]],Tabulka171013253137434955[[Tým]:[ ]],7,FALSE)</f>
        <v>#N/A</v>
      </c>
      <c r="AF15" s="29" t="e">
        <f>IF(Tabulka381114263238445056[[#This Row],[Výsledný čas]]="N",5,IF(Tabulka381114263238445056[[#This Row],[Výsledný čas]]="D",0,IF(Tabulka381114263238445056[[#This Row],[Výsledný čas]]="NEÚČAST",0,Tabulka4[[#Totals],[Týmy muži]]+6-Tabulka381114263238445056[[#This Row],[Umístění]])))</f>
        <v>#N/A</v>
      </c>
      <c r="AH15" s="31" t="e">
        <f>_xlfn.RANK.EQ(Tabulka591215273339455157[[#This Row],[Body]],Tabulka591215273339455157[Body],0)</f>
        <v>#N/A</v>
      </c>
      <c r="AI15" s="51" t="s">
        <v>16</v>
      </c>
      <c r="AJ15" s="29" t="e">
        <f>VLOOKUP(Tabulka591215273339455157[[#This Row],[Tým]],Tabulka381114263238445056[[Tým]:[Body]],6,FALSE)+Tabulka591215273339455157[[#This Row],[ ]]</f>
        <v>#N/A</v>
      </c>
      <c r="AK15" s="82">
        <f>VLOOKUP(Tabulka591215273339455157[[#This Row],[Tým]],Tabulka5912152733394551[[Tým]:[Body]],2,FALSE)</f>
        <v>117</v>
      </c>
      <c r="AL15" s="47" t="e">
        <f>Tabulka591215273339455157[[#This Row],[Umístění]]</f>
        <v>#N/A</v>
      </c>
      <c r="AM15" s="15"/>
      <c r="AP15" s="1"/>
    </row>
    <row r="16" spans="1:42" ht="24.95" customHeight="1" x14ac:dyDescent="0.4">
      <c r="B16" s="11"/>
      <c r="C16" s="1" t="str">
        <f>IF(Tabulka171013253137434955[[#This Row],[ ]]="","",IF(Tabulka171013253137434955[[#This Row],[ ]]="NEÚČAST","",IF(OR(Tabulka171013253137434955[Výsledný čas]="N",Tabulka171013253137434955[Výsledný čas]="D"),$L$4-$L$5,_xlfn.RANK.EQ(Tabulka171013253137434955[[#This Row],[ ]],Tabulka171013253137434955[[ ]],1))))</f>
        <v/>
      </c>
      <c r="D16" s="7"/>
      <c r="E16" s="8"/>
      <c r="F16" s="8"/>
      <c r="G16" s="9" t="str">
        <f>IF(OR(Tabulka171013253137434955[[#This Row],[LP]]="N",Tabulka171013253137434955[[#This Row],[PP]]="N"),"N",IF(OR(Tabulka171013253137434955[[#This Row],[LP]]="D",Tabulka171013253137434955[[#This Row],[PP]]="D"),"D",IF(OR(Tabulka171013253137434955[[#This Row],[LP]]="NEÚČAST",Tabulka171013253137434955[[#This Row],[PP]]="NEÚČAST"),"NEÚČAST",IF(OR(Tabulka171013253137434955[[#This Row],[LP]]="",Tabulka171013253137434955[[#This Row],[PP]]=""),"",MAX(Tabulka171013253137434955[[#This Row],[LP]:[PP]])))))</f>
        <v/>
      </c>
      <c r="H16" s="1">
        <f>COUNTIF(Tabulka171013253137434955[[#This Row],[Tým]],"*")</f>
        <v>0</v>
      </c>
      <c r="I16" s="1">
        <f>COUNTIF(Tabulka171013253137434955[[#This Row],[Výsledný čas]],"NEÚČAST")</f>
        <v>0</v>
      </c>
      <c r="J16" s="1" t="str">
        <f>IF(Tabulka171013253137434955[[#This Row],[Výsledný čas]]="N",998,IF(Tabulka171013253137434955[[#This Row],[Výsledný čas]]="D",998,IF(Tabulka171013253137434955[[#This Row],[Výsledný čas]]="","",Tabulka171013253137434955[[#This Row],[Výsledný čas]])))</f>
        <v/>
      </c>
      <c r="N16" s="70"/>
      <c r="P16" s="7"/>
      <c r="Q16" s="8"/>
      <c r="R16" s="8"/>
      <c r="Z16" s="31" t="e">
        <f>IF(OR(Tabulka381114263238445056[Výsledný čas]="N",Tabulka381114263238445056[Výsledný čas]="D",Tabulka381114263238445056[Výsledný čas]="NEÚČAST"),Uvod!$E$4,_xlfn.RANK.EQ(Tabulka381114263238445056[[#This Row],[ ]],Tabulka381114263238445056[[ ]],1))</f>
        <v>#N/A</v>
      </c>
      <c r="AA16" s="51" t="s">
        <v>32</v>
      </c>
      <c r="AB16" s="44" t="e">
        <f>VLOOKUP(Tabulka381114263238445056[[#This Row],[Tým]],Tabulka171013253137434955[[Tým]:[ ]],2,FALSE)</f>
        <v>#N/A</v>
      </c>
      <c r="AC16" s="44" t="e">
        <f>VLOOKUP(Tabulka381114263238445056[[#This Row],[Tým]],Tabulka171013253137434955[[Tým]:[ ]],3,FALSE)</f>
        <v>#N/A</v>
      </c>
      <c r="AD16" s="25" t="e">
        <f>VLOOKUP(Tabulka381114263238445056[[#This Row],[Tým]],Tabulka171013253137434955[[Tým]:[ ]],4,FALSE)</f>
        <v>#N/A</v>
      </c>
      <c r="AE16" s="25" t="e">
        <f>VLOOKUP(Tabulka381114263238445056[[#This Row],[Tým]],Tabulka171013253137434955[[Tým]:[ ]],7,FALSE)</f>
        <v>#N/A</v>
      </c>
      <c r="AF16" s="29" t="e">
        <f>IF(Tabulka381114263238445056[[#This Row],[Výsledný čas]]="N",5,IF(Tabulka381114263238445056[[#This Row],[Výsledný čas]]="D",0,IF(Tabulka381114263238445056[[#This Row],[Výsledný čas]]="NEÚČAST",0,Tabulka4[[#Totals],[Týmy muži]]+6-Tabulka381114263238445056[[#This Row],[Umístění]])))</f>
        <v>#N/A</v>
      </c>
      <c r="AH16" s="31" t="e">
        <f>_xlfn.RANK.EQ(Tabulka591215273339455157[[#This Row],[Body]],Tabulka591215273339455157[Body],0)</f>
        <v>#N/A</v>
      </c>
      <c r="AI16" s="51" t="s">
        <v>32</v>
      </c>
      <c r="AJ16" s="29" t="e">
        <f>VLOOKUP(Tabulka591215273339455157[[#This Row],[Tým]],Tabulka381114263238445056[[Tým]:[Body]],6,FALSE)+Tabulka591215273339455157[[#This Row],[ ]]</f>
        <v>#N/A</v>
      </c>
      <c r="AK16" s="82">
        <f>VLOOKUP(Tabulka591215273339455157[[#This Row],[Tým]],Tabulka5912152733394551[[Tým]:[Body]],2,FALSE)</f>
        <v>66</v>
      </c>
      <c r="AL16" s="47" t="e">
        <f>Tabulka591215273339455157[[#This Row],[Umístění]]</f>
        <v>#N/A</v>
      </c>
      <c r="AM16" s="15"/>
      <c r="AP16" s="1"/>
    </row>
    <row r="17" spans="2:42" ht="24.95" customHeight="1" x14ac:dyDescent="0.4">
      <c r="B17" s="6"/>
      <c r="C17" s="1" t="str">
        <f>IF(Tabulka171013253137434955[[#This Row],[ ]]="","",IF(Tabulka171013253137434955[[#This Row],[ ]]="NEÚČAST","",IF(OR(Tabulka171013253137434955[Výsledný čas]="N",Tabulka171013253137434955[Výsledný čas]="D"),$L$4-$L$5,_xlfn.RANK.EQ(Tabulka171013253137434955[[#This Row],[ ]],Tabulka171013253137434955[[ ]],1))))</f>
        <v/>
      </c>
      <c r="D17" s="12"/>
      <c r="E17" s="8"/>
      <c r="F17" s="8"/>
      <c r="G17" s="9" t="str">
        <f>IF(OR(Tabulka171013253137434955[[#This Row],[LP]]="N",Tabulka171013253137434955[[#This Row],[PP]]="N"),"N",IF(OR(Tabulka171013253137434955[[#This Row],[LP]]="D",Tabulka171013253137434955[[#This Row],[PP]]="D"),"D",IF(OR(Tabulka171013253137434955[[#This Row],[LP]]="NEÚČAST",Tabulka171013253137434955[[#This Row],[PP]]="NEÚČAST"),"NEÚČAST",IF(OR(Tabulka171013253137434955[[#This Row],[LP]]="",Tabulka171013253137434955[[#This Row],[PP]]=""),"",MAX(Tabulka171013253137434955[[#This Row],[LP]:[PP]])))))</f>
        <v/>
      </c>
      <c r="H17" s="1">
        <f>COUNTIF(Tabulka171013253137434955[[#This Row],[Tým]],"*")</f>
        <v>0</v>
      </c>
      <c r="I17" s="1">
        <f>COUNTIF(Tabulka171013253137434955[[#This Row],[Výsledný čas]],"NEÚČAST")</f>
        <v>0</v>
      </c>
      <c r="J17" s="1" t="str">
        <f>IF(Tabulka171013253137434955[[#This Row],[Výsledný čas]]="N",998,IF(Tabulka171013253137434955[[#This Row],[Výsledný čas]]="D",998,IF(Tabulka171013253137434955[[#This Row],[Výsledný čas]]="","",Tabulka171013253137434955[[#This Row],[Výsledný čas]])))</f>
        <v/>
      </c>
      <c r="P17" s="7"/>
      <c r="Q17" s="8"/>
      <c r="R17" s="8"/>
      <c r="Z17" s="31" t="e">
        <f>IF(OR(Tabulka381114263238445056[Výsledný čas]="N",Tabulka381114263238445056[Výsledný čas]="D",Tabulka381114263238445056[Výsledný čas]="NEÚČAST"),Uvod!$E$4,_xlfn.RANK.EQ(Tabulka381114263238445056[[#This Row],[ ]],Tabulka381114263238445056[[ ]],1))</f>
        <v>#N/A</v>
      </c>
      <c r="AA17" s="51" t="s">
        <v>25</v>
      </c>
      <c r="AB17" s="44" t="e">
        <f>VLOOKUP(Tabulka381114263238445056[[#This Row],[Tým]],Tabulka171013253137434955[[Tým]:[ ]],2,FALSE)</f>
        <v>#N/A</v>
      </c>
      <c r="AC17" s="44" t="e">
        <f>VLOOKUP(Tabulka381114263238445056[[#This Row],[Tým]],Tabulka171013253137434955[[Tým]:[ ]],3,FALSE)</f>
        <v>#N/A</v>
      </c>
      <c r="AD17" s="25" t="e">
        <f>VLOOKUP(Tabulka381114263238445056[[#This Row],[Tým]],Tabulka171013253137434955[[Tým]:[ ]],4,FALSE)</f>
        <v>#N/A</v>
      </c>
      <c r="AE17" s="25" t="e">
        <f>VLOOKUP(Tabulka381114263238445056[[#This Row],[Tým]],Tabulka171013253137434955[[Tým]:[ ]],7,FALSE)</f>
        <v>#N/A</v>
      </c>
      <c r="AF17" s="29" t="e">
        <f>IF(Tabulka381114263238445056[[#This Row],[Výsledný čas]]="N",5,IF(Tabulka381114263238445056[[#This Row],[Výsledný čas]]="D",0,IF(Tabulka381114263238445056[[#This Row],[Výsledný čas]]="NEÚČAST",0,Tabulka4[[#Totals],[Týmy muži]]+6-Tabulka381114263238445056[[#This Row],[Umístění]])))</f>
        <v>#N/A</v>
      </c>
      <c r="AH17" s="31" t="e">
        <f>_xlfn.RANK.EQ(Tabulka591215273339455157[[#This Row],[Body]],Tabulka591215273339455157[Body],0)</f>
        <v>#N/A</v>
      </c>
      <c r="AI17" s="51" t="s">
        <v>25</v>
      </c>
      <c r="AJ17" s="29" t="e">
        <f>VLOOKUP(Tabulka591215273339455157[[#This Row],[Tým]],Tabulka381114263238445056[[Tým]:[Body]],6,FALSE)+Tabulka591215273339455157[[#This Row],[ ]]</f>
        <v>#N/A</v>
      </c>
      <c r="AK17" s="82">
        <f>VLOOKUP(Tabulka591215273339455157[[#This Row],[Tým]],Tabulka5912152733394551[[Tým]:[Body]],2,FALSE)</f>
        <v>93</v>
      </c>
      <c r="AL17" s="47" t="e">
        <f>Tabulka591215273339455157[[#This Row],[Umístění]]</f>
        <v>#N/A</v>
      </c>
      <c r="AM17" s="15"/>
      <c r="AP17" s="1"/>
    </row>
    <row r="18" spans="2:42" ht="24.95" customHeight="1" x14ac:dyDescent="0.4">
      <c r="B18" s="11"/>
      <c r="C18" s="1" t="str">
        <f>IF(Tabulka171013253137434955[[#This Row],[ ]]="","",IF(Tabulka171013253137434955[[#This Row],[ ]]="NEÚČAST","",IF(OR(Tabulka171013253137434955[Výsledný čas]="N",Tabulka171013253137434955[Výsledný čas]="D"),$L$4-$L$5,_xlfn.RANK.EQ(Tabulka171013253137434955[[#This Row],[ ]],Tabulka171013253137434955[[ ]],1))))</f>
        <v/>
      </c>
      <c r="D18" s="12"/>
      <c r="E18" s="8"/>
      <c r="F18" s="8"/>
      <c r="G18" s="9" t="str">
        <f>IF(OR(Tabulka171013253137434955[[#This Row],[LP]]="N",Tabulka171013253137434955[[#This Row],[PP]]="N"),"N",IF(OR(Tabulka171013253137434955[[#This Row],[LP]]="D",Tabulka171013253137434955[[#This Row],[PP]]="D"),"D",IF(OR(Tabulka171013253137434955[[#This Row],[LP]]="NEÚČAST",Tabulka171013253137434955[[#This Row],[PP]]="NEÚČAST"),"NEÚČAST",IF(OR(Tabulka171013253137434955[[#This Row],[LP]]="",Tabulka171013253137434955[[#This Row],[PP]]=""),"",MAX(Tabulka171013253137434955[[#This Row],[LP]:[PP]])))))</f>
        <v/>
      </c>
      <c r="H18" s="1">
        <f>COUNTIF(Tabulka171013253137434955[[#This Row],[Tým]],"*")</f>
        <v>0</v>
      </c>
      <c r="I18" s="1">
        <f>COUNTIF(Tabulka171013253137434955[[#This Row],[Výsledný čas]],"NEÚČAST")</f>
        <v>0</v>
      </c>
      <c r="J18" s="1" t="str">
        <f>IF(Tabulka171013253137434955[[#This Row],[Výsledný čas]]="N",998,IF(Tabulka171013253137434955[[#This Row],[Výsledný čas]]="D",998,IF(Tabulka171013253137434955[[#This Row],[Výsledný čas]]="","",Tabulka171013253137434955[[#This Row],[Výsledný čas]])))</f>
        <v/>
      </c>
      <c r="P18" s="7"/>
      <c r="Q18" s="8"/>
      <c r="R18" s="8"/>
      <c r="Z18" s="31" t="e">
        <f>IF(OR(Tabulka381114263238445056[Výsledný čas]="N",Tabulka381114263238445056[Výsledný čas]="D",Tabulka381114263238445056[Výsledný čas]="NEÚČAST"),Uvod!$E$4,_xlfn.RANK.EQ(Tabulka381114263238445056[[#This Row],[ ]],Tabulka381114263238445056[[ ]],1))</f>
        <v>#N/A</v>
      </c>
      <c r="AA18" s="51" t="s">
        <v>14</v>
      </c>
      <c r="AB18" s="44" t="e">
        <f>VLOOKUP(Tabulka381114263238445056[[#This Row],[Tým]],Tabulka171013253137434955[[Tým]:[ ]],2,FALSE)</f>
        <v>#N/A</v>
      </c>
      <c r="AC18" s="44" t="e">
        <f>VLOOKUP(Tabulka381114263238445056[[#This Row],[Tým]],Tabulka171013253137434955[[Tým]:[ ]],3,FALSE)</f>
        <v>#N/A</v>
      </c>
      <c r="AD18" s="25" t="e">
        <f>VLOOKUP(Tabulka381114263238445056[[#This Row],[Tým]],Tabulka171013253137434955[[Tým]:[ ]],4,FALSE)</f>
        <v>#N/A</v>
      </c>
      <c r="AE18" s="25" t="e">
        <f>VLOOKUP(Tabulka381114263238445056[[#This Row],[Tým]],Tabulka171013253137434955[[Tým]:[ ]],7,FALSE)</f>
        <v>#N/A</v>
      </c>
      <c r="AF18" s="29" t="e">
        <f>IF(Tabulka381114263238445056[[#This Row],[Výsledný čas]]="N",5,IF(Tabulka381114263238445056[[#This Row],[Výsledný čas]]="D",0,IF(Tabulka381114263238445056[[#This Row],[Výsledný čas]]="NEÚČAST",0,Tabulka4[[#Totals],[Týmy muži]]+6-Tabulka381114263238445056[[#This Row],[Umístění]])))</f>
        <v>#N/A</v>
      </c>
      <c r="AH18" s="31" t="e">
        <f>_xlfn.RANK.EQ(Tabulka591215273339455157[[#This Row],[Body]],Tabulka591215273339455157[Body],0)</f>
        <v>#N/A</v>
      </c>
      <c r="AI18" s="51" t="s">
        <v>14</v>
      </c>
      <c r="AJ18" s="29" t="e">
        <f>VLOOKUP(Tabulka591215273339455157[[#This Row],[Tým]],Tabulka381114263238445056[[Tým]:[Body]],6,FALSE)+Tabulka591215273339455157[[#This Row],[ ]]</f>
        <v>#N/A</v>
      </c>
      <c r="AK18" s="82">
        <f>VLOOKUP(Tabulka591215273339455157[[#This Row],[Tým]],Tabulka5912152733394551[[Tým]:[Body]],2,FALSE)</f>
        <v>89</v>
      </c>
      <c r="AL18" s="47" t="e">
        <f>Tabulka591215273339455157[[#This Row],[Umístění]]</f>
        <v>#N/A</v>
      </c>
      <c r="AM18" s="15"/>
      <c r="AP18" s="1"/>
    </row>
    <row r="19" spans="2:42" ht="24.95" customHeight="1" x14ac:dyDescent="0.4">
      <c r="B19" s="6"/>
      <c r="C19" s="1" t="str">
        <f>IF(Tabulka171013253137434955[[#This Row],[ ]]="","",IF(Tabulka171013253137434955[[#This Row],[ ]]="NEÚČAST","",IF(OR(Tabulka171013253137434955[Výsledný čas]="N",Tabulka171013253137434955[Výsledný čas]="D"),$L$4-$L$5,_xlfn.RANK.EQ(Tabulka171013253137434955[[#This Row],[ ]],Tabulka171013253137434955[[ ]],1))))</f>
        <v/>
      </c>
      <c r="D19" s="7"/>
      <c r="E19" s="8"/>
      <c r="F19" s="8"/>
      <c r="G19" s="9" t="str">
        <f>IF(OR(Tabulka171013253137434955[[#This Row],[LP]]="N",Tabulka171013253137434955[[#This Row],[PP]]="N"),"N",IF(OR(Tabulka171013253137434955[[#This Row],[LP]]="D",Tabulka171013253137434955[[#This Row],[PP]]="D"),"D",IF(OR(Tabulka171013253137434955[[#This Row],[LP]]="NEÚČAST",Tabulka171013253137434955[[#This Row],[PP]]="NEÚČAST"),"NEÚČAST",IF(OR(Tabulka171013253137434955[[#This Row],[LP]]="",Tabulka171013253137434955[[#This Row],[PP]]=""),"",MAX(Tabulka171013253137434955[[#This Row],[LP]:[PP]])))))</f>
        <v/>
      </c>
      <c r="H19" s="1">
        <f>COUNTIF(Tabulka171013253137434955[[#This Row],[Tým]],"*")</f>
        <v>0</v>
      </c>
      <c r="I19" s="1">
        <f>COUNTIF(Tabulka171013253137434955[[#This Row],[Výsledný čas]],"NEÚČAST")</f>
        <v>0</v>
      </c>
      <c r="J19" s="1" t="str">
        <f>IF(Tabulka171013253137434955[[#This Row],[Výsledný čas]]="N",998,IF(Tabulka171013253137434955[[#This Row],[Výsledný čas]]="D",998,IF(Tabulka171013253137434955[[#This Row],[Výsledný čas]]="","",Tabulka171013253137434955[[#This Row],[Výsledný čas]])))</f>
        <v/>
      </c>
      <c r="N19" s="68"/>
      <c r="P19" s="10"/>
      <c r="Q19" s="8"/>
      <c r="R19" s="8"/>
      <c r="Z19" s="31" t="e">
        <f>IF(OR(Tabulka381114263238445056[Výsledný čas]="N",Tabulka381114263238445056[Výsledný čas]="D",Tabulka381114263238445056[Výsledný čas]="NEÚČAST"),Uvod!$E$4,_xlfn.RANK.EQ(Tabulka381114263238445056[[#This Row],[ ]],Tabulka381114263238445056[[ ]],1))</f>
        <v>#N/A</v>
      </c>
      <c r="AA19" s="97" t="s">
        <v>33</v>
      </c>
      <c r="AB19" s="44" t="e">
        <f>VLOOKUP(Tabulka381114263238445056[[#This Row],[Tým]],Tabulka171013253137434955[[Tým]:[ ]],2,FALSE)</f>
        <v>#N/A</v>
      </c>
      <c r="AC19" s="44" t="e">
        <f>VLOOKUP(Tabulka381114263238445056[[#This Row],[Tým]],Tabulka171013253137434955[[Tým]:[ ]],3,FALSE)</f>
        <v>#N/A</v>
      </c>
      <c r="AD19" s="25" t="e">
        <f>VLOOKUP(Tabulka381114263238445056[[#This Row],[Tým]],Tabulka171013253137434955[[Tým]:[ ]],4,FALSE)</f>
        <v>#N/A</v>
      </c>
      <c r="AE19" s="25" t="e">
        <f>VLOOKUP(Tabulka381114263238445056[[#This Row],[Tým]],Tabulka171013253137434955[[Tým]:[ ]],7,FALSE)</f>
        <v>#N/A</v>
      </c>
      <c r="AF19" s="29" t="e">
        <f>IF(Tabulka381114263238445056[[#This Row],[Výsledný čas]]="N",5,IF(Tabulka381114263238445056[[#This Row],[Výsledný čas]]="D",0,IF(Tabulka381114263238445056[[#This Row],[Výsledný čas]]="NEÚČAST",0,Tabulka4[[#Totals],[Týmy muži]]+6-Tabulka381114263238445056[[#This Row],[Umístění]])))</f>
        <v>#N/A</v>
      </c>
      <c r="AH19" s="31" t="e">
        <f>_xlfn.RANK.EQ(Tabulka591215273339455157[[#This Row],[Body]],Tabulka591215273339455157[Body],0)</f>
        <v>#N/A</v>
      </c>
      <c r="AI19" s="97" t="s">
        <v>33</v>
      </c>
      <c r="AJ19" s="29" t="e">
        <f>VLOOKUP(Tabulka591215273339455157[[#This Row],[Tým]],Tabulka381114263238445056[[Tým]:[Body]],6,FALSE)+Tabulka591215273339455157[[#This Row],[ ]]</f>
        <v>#N/A</v>
      </c>
      <c r="AK19" s="82">
        <f>VLOOKUP(Tabulka591215273339455157[[#This Row],[Tým]],Tabulka5912152733394551[[Tým]:[Body]],2,FALSE)</f>
        <v>69</v>
      </c>
      <c r="AL19" s="47" t="e">
        <f>Tabulka591215273339455157[[#This Row],[Umístění]]</f>
        <v>#N/A</v>
      </c>
      <c r="AM19" s="15"/>
      <c r="AP19" s="1"/>
    </row>
    <row r="20" spans="2:42" ht="24.95" customHeight="1" thickBot="1" x14ac:dyDescent="0.45">
      <c r="B20" s="11"/>
      <c r="C20" s="1" t="str">
        <f>IF(Tabulka171013253137434955[[#This Row],[ ]]="","",IF(Tabulka171013253137434955[[#This Row],[ ]]="NEÚČAST","",IF(OR(Tabulka171013253137434955[Výsledný čas]="N",Tabulka171013253137434955[Výsledný čas]="D"),$L$4-$L$5,_xlfn.RANK.EQ(Tabulka171013253137434955[[#This Row],[ ]],Tabulka171013253137434955[[ ]],1))))</f>
        <v/>
      </c>
      <c r="D20" s="7"/>
      <c r="E20" s="8"/>
      <c r="F20" s="8"/>
      <c r="G20" s="9" t="str">
        <f>IF(OR(Tabulka171013253137434955[[#This Row],[LP]]="N",Tabulka171013253137434955[[#This Row],[PP]]="N"),"N",IF(OR(Tabulka171013253137434955[[#This Row],[LP]]="D",Tabulka171013253137434955[[#This Row],[PP]]="D"),"D",IF(OR(Tabulka171013253137434955[[#This Row],[LP]]="NEÚČAST",Tabulka171013253137434955[[#This Row],[PP]]="NEÚČAST"),"NEÚČAST",IF(OR(Tabulka171013253137434955[[#This Row],[LP]]="",Tabulka171013253137434955[[#This Row],[PP]]=""),"",MAX(Tabulka171013253137434955[[#This Row],[LP]:[PP]])))))</f>
        <v/>
      </c>
      <c r="H20" s="1">
        <f>COUNTIF(Tabulka171013253137434955[[#This Row],[Tým]],"*")</f>
        <v>0</v>
      </c>
      <c r="I20" s="1">
        <f>COUNTIF(Tabulka171013253137434955[[#This Row],[Výsledný čas]],"NEÚČAST")</f>
        <v>0</v>
      </c>
      <c r="J20" s="1" t="str">
        <f>IF(Tabulka171013253137434955[[#This Row],[Výsledný čas]]="N",998,IF(Tabulka171013253137434955[[#This Row],[Výsledný čas]]="D",998,IF(Tabulka171013253137434955[[#This Row],[Výsledný čas]]="","",Tabulka171013253137434955[[#This Row],[Výsledný čas]])))</f>
        <v/>
      </c>
      <c r="N20" s="70"/>
      <c r="P20" s="10"/>
      <c r="Q20" s="8"/>
      <c r="R20" s="8"/>
      <c r="Z20" s="31" t="e">
        <f>IF(OR(Tabulka381114263238445056[Výsledný čas]="N",Tabulka381114263238445056[Výsledný čas]="D",Tabulka381114263238445056[Výsledný čas]="NEÚČAST"),Uvod!$E$4,_xlfn.RANK.EQ(Tabulka381114263238445056[[#This Row],[ ]],Tabulka381114263238445056[[ ]],1))</f>
        <v>#N/A</v>
      </c>
      <c r="AA20" s="97" t="s">
        <v>17</v>
      </c>
      <c r="AB20" s="44" t="e">
        <f>VLOOKUP(Tabulka381114263238445056[[#This Row],[Tým]],Tabulka171013253137434955[[Tým]:[ ]],2,FALSE)</f>
        <v>#N/A</v>
      </c>
      <c r="AC20" s="44" t="e">
        <f>VLOOKUP(Tabulka381114263238445056[[#This Row],[Tým]],Tabulka171013253137434955[[Tým]:[ ]],3,FALSE)</f>
        <v>#N/A</v>
      </c>
      <c r="AD20" s="25" t="e">
        <f>VLOOKUP(Tabulka381114263238445056[[#This Row],[Tým]],Tabulka171013253137434955[[Tým]:[ ]],4,FALSE)</f>
        <v>#N/A</v>
      </c>
      <c r="AE20" s="25" t="e">
        <f>VLOOKUP(Tabulka381114263238445056[[#This Row],[Tým]],Tabulka171013253137434955[[Tým]:[ ]],7,FALSE)</f>
        <v>#N/A</v>
      </c>
      <c r="AF20" s="29" t="e">
        <f>IF(Tabulka381114263238445056[[#This Row],[Výsledný čas]]="N",5,IF(Tabulka381114263238445056[[#This Row],[Výsledný čas]]="D",0,IF(Tabulka381114263238445056[[#This Row],[Výsledný čas]]="NEÚČAST",0,Tabulka4[[#Totals],[Týmy muži]]+6-Tabulka381114263238445056[[#This Row],[Umístění]])))</f>
        <v>#N/A</v>
      </c>
      <c r="AH20" s="31" t="e">
        <f>_xlfn.RANK.EQ(Tabulka591215273339455157[[#This Row],[Body]],Tabulka591215273339455157[Body],0)</f>
        <v>#N/A</v>
      </c>
      <c r="AI20" s="97" t="s">
        <v>17</v>
      </c>
      <c r="AJ20" s="29" t="e">
        <f>VLOOKUP(Tabulka591215273339455157[[#This Row],[Tým]],Tabulka381114263238445056[[Tým]:[Body]],6,FALSE)+Tabulka591215273339455157[[#This Row],[ ]]</f>
        <v>#N/A</v>
      </c>
      <c r="AK20" s="83">
        <f>VLOOKUP(Tabulka591215273339455157[[#This Row],[Tým]],Tabulka5912152733394551[[Tým]:[Body]],2,FALSE)</f>
        <v>49</v>
      </c>
      <c r="AL20" s="93" t="e">
        <f>Tabulka591215273339455157[[#This Row],[Umístění]]</f>
        <v>#N/A</v>
      </c>
      <c r="AM20" s="15"/>
      <c r="AP20" s="1"/>
    </row>
    <row r="21" spans="2:42" ht="24.95" customHeight="1" x14ac:dyDescent="0.4">
      <c r="B21" s="6"/>
      <c r="C21" s="1" t="str">
        <f>IF(Tabulka171013253137434955[[#This Row],[ ]]="","",IF(Tabulka171013253137434955[[#This Row],[ ]]="NEÚČAST","",IF(OR(Tabulka171013253137434955[Výsledný čas]="N",Tabulka171013253137434955[Výsledný čas]="D"),$L$4-$L$5,_xlfn.RANK.EQ(Tabulka171013253137434955[[#This Row],[ ]],Tabulka171013253137434955[[ ]],1))))</f>
        <v/>
      </c>
      <c r="D21" s="7"/>
      <c r="E21" s="13"/>
      <c r="F21" s="8"/>
      <c r="G21" s="9" t="str">
        <f>IF(OR(Tabulka171013253137434955[[#This Row],[LP]]="N",Tabulka171013253137434955[[#This Row],[PP]]="N"),"N",IF(OR(Tabulka171013253137434955[[#This Row],[LP]]="D",Tabulka171013253137434955[[#This Row],[PP]]="D"),"D",IF(OR(Tabulka171013253137434955[[#This Row],[LP]]="NEÚČAST",Tabulka171013253137434955[[#This Row],[PP]]="NEÚČAST"),"NEÚČAST",IF(OR(Tabulka171013253137434955[[#This Row],[LP]]="",Tabulka171013253137434955[[#This Row],[PP]]=""),"",MAX(Tabulka171013253137434955[[#This Row],[LP]:[PP]])))))</f>
        <v/>
      </c>
      <c r="H21" s="1">
        <f>COUNTIF(Tabulka171013253137434955[[#This Row],[Tým]],"*")</f>
        <v>0</v>
      </c>
      <c r="I21" s="1">
        <f>COUNTIF(Tabulka171013253137434955[[#This Row],[Výsledný čas]],"NEÚČAST")</f>
        <v>0</v>
      </c>
      <c r="J21" s="1" t="str">
        <f>IF(Tabulka171013253137434955[[#This Row],[Výsledný čas]]="N",998,IF(Tabulka171013253137434955[[#This Row],[Výsledný čas]]="D",998,IF(Tabulka171013253137434955[[#This Row],[Výsledný čas]]="","",Tabulka171013253137434955[[#This Row],[Výsledný čas]])))</f>
        <v/>
      </c>
      <c r="P21" s="10"/>
      <c r="Q21" s="8"/>
      <c r="R21" s="8"/>
      <c r="Z21" s="31" t="e">
        <f>IF(OR(Tabulka381114263238445056[Výsledný čas]="N",Tabulka381114263238445056[Výsledný čas]="D",Tabulka381114263238445056[Výsledný čas]="NEÚČAST"),Uvod!$E$4,_xlfn.RANK.EQ(Tabulka381114263238445056[[#This Row],[ ]],Tabulka381114263238445056[[ ]],1))</f>
        <v>#N/A</v>
      </c>
      <c r="AA21" s="51" t="s">
        <v>24</v>
      </c>
      <c r="AB21" s="44" t="e">
        <f>VLOOKUP(Tabulka381114263238445056[[#This Row],[Tým]],Tabulka171013253137434955[[Tým]:[ ]],2,FALSE)</f>
        <v>#N/A</v>
      </c>
      <c r="AC21" s="44" t="e">
        <f>VLOOKUP(Tabulka381114263238445056[[#This Row],[Tým]],Tabulka171013253137434955[[Tým]:[ ]],3,FALSE)</f>
        <v>#N/A</v>
      </c>
      <c r="AD21" s="25" t="e">
        <f>VLOOKUP(Tabulka381114263238445056[[#This Row],[Tým]],Tabulka171013253137434955[[Tým]:[ ]],4,FALSE)</f>
        <v>#N/A</v>
      </c>
      <c r="AE21" s="25" t="e">
        <f>VLOOKUP(Tabulka381114263238445056[[#This Row],[Tým]],Tabulka171013253137434955[[Tým]:[ ]],7,FALSE)</f>
        <v>#N/A</v>
      </c>
      <c r="AF21" s="29" t="e">
        <f>IF(Tabulka381114263238445056[[#This Row],[Výsledný čas]]="N",5,IF(Tabulka381114263238445056[[#This Row],[Výsledný čas]]="D",0,IF(Tabulka381114263238445056[[#This Row],[Výsledný čas]]="NEÚČAST",0,Tabulka4[[#Totals],[Týmy muži]]+6-Tabulka381114263238445056[[#This Row],[Umístění]])))</f>
        <v>#N/A</v>
      </c>
      <c r="AH21" s="31" t="e">
        <f>_xlfn.RANK.EQ(Tabulka591215273339455157[[#This Row],[Body]],Tabulka591215273339455157[Body],0)</f>
        <v>#N/A</v>
      </c>
      <c r="AI21" s="51" t="s">
        <v>24</v>
      </c>
      <c r="AJ21" s="29" t="e">
        <f>VLOOKUP(Tabulka591215273339455157[[#This Row],[Tým]],Tabulka381114263238445056[[Tým]:[Body]],6,FALSE)+Tabulka591215273339455157[[#This Row],[ ]]</f>
        <v>#N/A</v>
      </c>
      <c r="AK21" s="82">
        <f>VLOOKUP(Tabulka591215273339455157[[#This Row],[Tým]],Tabulka5912152733394551[[Tým]:[Body]],2,FALSE)</f>
        <v>92</v>
      </c>
      <c r="AL21" s="47" t="e">
        <f>Tabulka591215273339455157[[#This Row],[Umístění]]</f>
        <v>#N/A</v>
      </c>
    </row>
    <row r="22" spans="2:42" ht="24.95" customHeight="1" thickBot="1" x14ac:dyDescent="0.45">
      <c r="B22" s="6"/>
      <c r="C22" s="1" t="str">
        <f>IF(Tabulka171013253137434955[[#This Row],[ ]]="","",IF(Tabulka171013253137434955[[#This Row],[ ]]="NEÚČAST","",IF(OR(Tabulka171013253137434955[Výsledný čas]="N",Tabulka171013253137434955[Výsledný čas]="D"),$L$4-$L$5,_xlfn.RANK.EQ(Tabulka171013253137434955[[#This Row],[ ]],Tabulka171013253137434955[[ ]],1))))</f>
        <v/>
      </c>
      <c r="D22" s="7"/>
      <c r="E22" s="8"/>
      <c r="F22" s="8"/>
      <c r="G22" s="9" t="str">
        <f>IF(OR(Tabulka171013253137434955[[#This Row],[LP]]="N",Tabulka171013253137434955[[#This Row],[PP]]="N"),"N",IF(OR(Tabulka171013253137434955[[#This Row],[LP]]="D",Tabulka171013253137434955[[#This Row],[PP]]="D"),"D",IF(OR(Tabulka171013253137434955[[#This Row],[LP]]="NEÚČAST",Tabulka171013253137434955[[#This Row],[PP]]="NEÚČAST"),"NEÚČAST",IF(OR(Tabulka171013253137434955[[#This Row],[LP]]="",Tabulka171013253137434955[[#This Row],[PP]]=""),"",MAX(Tabulka171013253137434955[[#This Row],[LP]:[PP]])))))</f>
        <v/>
      </c>
      <c r="H22" s="1">
        <f>COUNTIF(Tabulka171013253137434955[[#This Row],[Tým]],"*")</f>
        <v>0</v>
      </c>
      <c r="I22" s="1">
        <f>COUNTIF(Tabulka171013253137434955[[#This Row],[Výsledný čas]],"NEÚČAST")</f>
        <v>0</v>
      </c>
      <c r="J22" s="1" t="str">
        <f>IF(Tabulka171013253137434955[[#This Row],[Výsledný čas]]="N",998,IF(Tabulka171013253137434955[[#This Row],[Výsledný čas]]="D",998,IF(Tabulka171013253137434955[[#This Row],[Výsledný čas]]="","",Tabulka171013253137434955[[#This Row],[Výsledný čas]])))</f>
        <v/>
      </c>
      <c r="P22" s="10"/>
      <c r="Q22" s="8"/>
      <c r="R22" s="8"/>
      <c r="Z22" s="33" t="e">
        <f>IF(OR(Tabulka381114263238445056[Výsledný čas]="N",Tabulka381114263238445056[Výsledný čas]="D",Tabulka381114263238445056[Výsledný čas]="NEÚČAST"),Uvod!$E$4,_xlfn.RANK.EQ(Tabulka381114263238445056[[#This Row],[ ]],Tabulka381114263238445056[[ ]],1))</f>
        <v>#N/A</v>
      </c>
      <c r="AA22" s="98" t="s">
        <v>13</v>
      </c>
      <c r="AB22" s="45" t="e">
        <f>VLOOKUP(Tabulka381114263238445056[[#This Row],[Tým]],Tabulka171013253137434955[[Tým]:[ ]],2,FALSE)</f>
        <v>#N/A</v>
      </c>
      <c r="AC22" s="45" t="e">
        <f>VLOOKUP(Tabulka381114263238445056[[#This Row],[Tým]],Tabulka171013253137434955[[Tým]:[ ]],3,FALSE)</f>
        <v>#N/A</v>
      </c>
      <c r="AD22" s="34" t="e">
        <f>VLOOKUP(Tabulka381114263238445056[[#This Row],[Tým]],Tabulka171013253137434955[[Tým]:[ ]],4,FALSE)</f>
        <v>#N/A</v>
      </c>
      <c r="AE22" s="34" t="e">
        <f>VLOOKUP(Tabulka381114263238445056[[#This Row],[Tým]],Tabulka171013253137434955[[Tým]:[ ]],7,FALSE)</f>
        <v>#N/A</v>
      </c>
      <c r="AF22" s="36" t="e">
        <f>IF(Tabulka381114263238445056[[#This Row],[Výsledný čas]]="N",5,IF(Tabulka381114263238445056[[#This Row],[Výsledný čas]]="D",0,IF(Tabulka381114263238445056[[#This Row],[Výsledný čas]]="NEÚČAST",0,Tabulka4[[#Totals],[Týmy muži]]+6-Tabulka381114263238445056[[#This Row],[Umístění]])))</f>
        <v>#N/A</v>
      </c>
      <c r="AH22" s="33" t="e">
        <f>_xlfn.RANK.EQ(Tabulka591215273339455157[[#This Row],[Body]],Tabulka591215273339455157[Body],0)</f>
        <v>#N/A</v>
      </c>
      <c r="AI22" s="98" t="s">
        <v>13</v>
      </c>
      <c r="AJ22" s="36" t="e">
        <f>VLOOKUP(Tabulka591215273339455157[[#This Row],[Tým]],Tabulka381114263238445056[[Tým]:[Body]],6,FALSE)+Tabulka591215273339455157[[#This Row],[ ]]</f>
        <v>#N/A</v>
      </c>
      <c r="AK22" s="82">
        <f>VLOOKUP(Tabulka591215273339455157[[#This Row],[Tým]],Tabulka5912152733394551[[Tým]:[Body]],2,FALSE)</f>
        <v>89</v>
      </c>
      <c r="AL22" s="47" t="e">
        <f>Tabulka591215273339455157[[#This Row],[Umístění]]</f>
        <v>#N/A</v>
      </c>
    </row>
    <row r="23" spans="2:42" ht="24.95" customHeight="1" x14ac:dyDescent="0.4">
      <c r="B23" s="6"/>
      <c r="C23" s="1" t="str">
        <f>IF(Tabulka171013253137434955[[#This Row],[ ]]="","",IF(Tabulka171013253137434955[[#This Row],[ ]]="NEÚČAST","",IF(OR(Tabulka171013253137434955[Výsledný čas]="N",Tabulka171013253137434955[Výsledný čas]="D"),$L$4-$L$5,_xlfn.RANK.EQ(Tabulka171013253137434955[[#This Row],[ ]],Tabulka171013253137434955[[ ]],1))))</f>
        <v/>
      </c>
      <c r="D23" s="14"/>
      <c r="E23" s="8"/>
      <c r="F23" s="8"/>
      <c r="G23" s="9" t="str">
        <f>IF(OR(Tabulka171013253137434955[[#This Row],[LP]]="N",Tabulka171013253137434955[[#This Row],[PP]]="N"),"N",IF(OR(Tabulka171013253137434955[[#This Row],[LP]]="D",Tabulka171013253137434955[[#This Row],[PP]]="D"),"D",IF(OR(Tabulka171013253137434955[[#This Row],[LP]]="NEÚČAST",Tabulka171013253137434955[[#This Row],[PP]]="NEÚČAST"),"NEÚČAST",IF(OR(Tabulka171013253137434955[[#This Row],[LP]]="",Tabulka171013253137434955[[#This Row],[PP]]=""),"",MAX(Tabulka171013253137434955[[#This Row],[LP]:[PP]])))))</f>
        <v/>
      </c>
      <c r="H23" s="1">
        <f>COUNTIF(Tabulka171013253137434955[[#This Row],[Tým]],"*")</f>
        <v>0</v>
      </c>
      <c r="I23" s="1">
        <f>COUNTIF(Tabulka171013253137434955[[#This Row],[Výsledný čas]],"NEÚČAST")</f>
        <v>0</v>
      </c>
      <c r="J23" s="1" t="str">
        <f>IF(Tabulka171013253137434955[[#This Row],[Výsledný čas]]="N",998,IF(Tabulka171013253137434955[[#This Row],[Výsledný čas]]="D",998,IF(Tabulka171013253137434955[[#This Row],[Výsledný čas]]="","",Tabulka171013253137434955[[#This Row],[Výsledný čas]])))</f>
        <v/>
      </c>
      <c r="P23" s="10"/>
      <c r="Q23" s="8"/>
      <c r="R23" s="8"/>
      <c r="AB23" s="3"/>
      <c r="AC23" s="3"/>
      <c r="AL23" s="15"/>
    </row>
    <row r="24" spans="2:42" ht="24.95" customHeight="1" thickBot="1" x14ac:dyDescent="0.45">
      <c r="B24" s="70"/>
      <c r="D24" s="7"/>
      <c r="E24" s="8"/>
      <c r="F24" s="8"/>
      <c r="N24" s="68"/>
      <c r="P24" s="7"/>
      <c r="Q24" s="8"/>
      <c r="R24" s="8"/>
      <c r="AB24" s="3"/>
      <c r="AC24" s="3"/>
      <c r="AL24" s="15"/>
    </row>
    <row r="25" spans="2:42" ht="24.95" customHeight="1" x14ac:dyDescent="0.4">
      <c r="D25" s="16"/>
      <c r="N25" s="70"/>
      <c r="P25" s="7"/>
      <c r="Q25" s="8"/>
      <c r="R25" s="8"/>
      <c r="Z25" s="308" t="str">
        <f>N2</f>
        <v xml:space="preserve">Výsledky - Soutěže 8. kola NHHL 11.8. 2023 Kozmice - ŽENY </v>
      </c>
      <c r="AA25" s="309"/>
      <c r="AB25" s="309"/>
      <c r="AC25" s="309"/>
      <c r="AD25" s="309"/>
      <c r="AE25" s="309"/>
      <c r="AF25" s="310"/>
      <c r="AH25" s="308" t="s">
        <v>135</v>
      </c>
      <c r="AI25" s="309"/>
      <c r="AJ25" s="309"/>
      <c r="AK25" s="310"/>
      <c r="AL25" s="15"/>
    </row>
    <row r="26" spans="2:42" ht="24.95" customHeight="1" thickBot="1" x14ac:dyDescent="0.45">
      <c r="D26" s="16"/>
      <c r="P26" s="7"/>
      <c r="Q26" s="8"/>
      <c r="R26" s="8"/>
      <c r="Z26" s="58" t="s">
        <v>1</v>
      </c>
      <c r="AA26" s="59" t="s">
        <v>2</v>
      </c>
      <c r="AB26" s="59" t="s">
        <v>3</v>
      </c>
      <c r="AC26" s="59" t="s">
        <v>4</v>
      </c>
      <c r="AD26" s="59" t="s">
        <v>5</v>
      </c>
      <c r="AE26" s="59" t="s">
        <v>27</v>
      </c>
      <c r="AF26" s="60" t="s">
        <v>7</v>
      </c>
      <c r="AH26" s="58" t="s">
        <v>1</v>
      </c>
      <c r="AI26" s="59" t="s">
        <v>2</v>
      </c>
      <c r="AJ26" s="59" t="s">
        <v>7</v>
      </c>
      <c r="AK26" s="29" t="s">
        <v>27</v>
      </c>
      <c r="AL26" s="94" t="s">
        <v>73</v>
      </c>
      <c r="AM26" s="15"/>
      <c r="AP26" s="1"/>
    </row>
    <row r="27" spans="2:42" ht="24.95" customHeight="1" x14ac:dyDescent="0.4">
      <c r="D27" s="16"/>
      <c r="P27" s="7"/>
      <c r="Q27" s="8"/>
      <c r="R27" s="8"/>
      <c r="Z27" s="77" t="e">
        <f>IF(OR(Tabulka3811142283440465258[Výsledný čas]="N",Tabulka3811142283440465258[Výsledný čas]="D",Tabulka3811142283440465258[Výsledný čas]="NEÚČAST"),Uvod!$E$6,_xlfn.RANK.EQ(Tabulka3811142283440465258[[#This Row],[ ]],Tabulka3811142283440465258[[ ]],1))</f>
        <v>#N/A</v>
      </c>
      <c r="AA27" s="78" t="s">
        <v>34</v>
      </c>
      <c r="AB27" s="79" t="e">
        <f>VLOOKUP(Tabulka3811142283440465258[[#This Row],[Tým]],Tabulka1710136303642485460[[Tým]:[ ]],2,FALSE)</f>
        <v>#N/A</v>
      </c>
      <c r="AC27" s="79" t="e">
        <f>VLOOKUP(Tabulka3811142283440465258[[#This Row],[Tým]],Tabulka1710136303642485460[[Tým]:[ ]],3,FALSE)</f>
        <v>#N/A</v>
      </c>
      <c r="AD27" s="80" t="e">
        <f>VLOOKUP(Tabulka3811142283440465258[[#This Row],[Tým]],Tabulka1710136303642485460[[Tým]:[ ]],4,FALSE)</f>
        <v>#N/A</v>
      </c>
      <c r="AE27" s="80" t="e">
        <f>VLOOKUP(Tabulka3811142283440465258[[#This Row],[Tým]],Tabulka1710136303642485460[[Tým]:[ ]],7,FALSE)</f>
        <v>#N/A</v>
      </c>
      <c r="AF27" s="81" t="e">
        <f>IF(Tabulka3811142283440465258[[#This Row],[Výsledný čas]]="N",5,IF(Tabulka3811142283440465258[[#This Row],[Výsledný čas]]="D",0,IF(Tabulka3811142283440465258[[#This Row],[Výsledný čas]]="NEÚČAST",0,Tabulka8[[#Totals],[Týmy ženy]]+6-Tabulka3811142283440465258[[#This Row],[Umístění]])))</f>
        <v>#N/A</v>
      </c>
      <c r="AH27" s="77" t="e">
        <f>_xlfn.RANK.EQ(Tabulka5912153293541475359[[#This Row],[Body]],Tabulka5912153293541475359[Body],0)</f>
        <v>#N/A</v>
      </c>
      <c r="AI27" s="78" t="s">
        <v>34</v>
      </c>
      <c r="AJ27" s="81" t="e">
        <f>VLOOKUP(Tabulka5912153293541475359[[#This Row],[Tým]],Tabulka3811142283440465258[[Tým]:[Body]],6,FALSE)+Tabulka5912153293541475359[[#This Row],[ ]]</f>
        <v>#N/A</v>
      </c>
      <c r="AK27" s="75">
        <f>VLOOKUP(Tabulka5912153293541475359[[#This Row],[Tým]],Tabulka59121532935414753[[Tým]:[Body]],2,FALSE)</f>
        <v>99</v>
      </c>
      <c r="AL27" s="92" t="e">
        <f>Tabulka5912153293541475359[[#This Row],[Umístění]]</f>
        <v>#N/A</v>
      </c>
      <c r="AM27" s="15"/>
      <c r="AP27" s="1"/>
    </row>
    <row r="28" spans="2:42" ht="24.95" customHeight="1" x14ac:dyDescent="0.4">
      <c r="D28" s="16"/>
      <c r="P28" s="7"/>
      <c r="Q28" s="8"/>
      <c r="R28" s="8"/>
      <c r="Z28" s="31" t="e">
        <f>IF(OR(Tabulka3811142283440465258[Výsledný čas]="N",Tabulka3811142283440465258[Výsledný čas]="D",Tabulka3811142283440465258[Výsledný čas]="NEÚČAST"),Uvod!$E$6,_xlfn.RANK.EQ(Tabulka3811142283440465258[[#This Row],[ ]],Tabulka3811142283440465258[[ ]],1))</f>
        <v>#N/A</v>
      </c>
      <c r="AA28" s="51" t="s">
        <v>35</v>
      </c>
      <c r="AB28" s="44" t="e">
        <f>VLOOKUP(Tabulka3811142283440465258[[#This Row],[Tým]],Tabulka1710136303642485460[[Tým]:[ ]],2,FALSE)</f>
        <v>#N/A</v>
      </c>
      <c r="AC28" s="44" t="e">
        <f>VLOOKUP(Tabulka3811142283440465258[[#This Row],[Tým]],Tabulka1710136303642485460[[Tým]:[ ]],3,FALSE)</f>
        <v>#N/A</v>
      </c>
      <c r="AD28" s="25" t="e">
        <f>VLOOKUP(Tabulka3811142283440465258[[#This Row],[Tým]],Tabulka1710136303642485460[[Tým]:[ ]],4,FALSE)</f>
        <v>#N/A</v>
      </c>
      <c r="AE28" s="25" t="e">
        <f>VLOOKUP(Tabulka3811142283440465258[[#This Row],[Tým]],Tabulka1710136303642485460[[Tým]:[ ]],7,FALSE)</f>
        <v>#N/A</v>
      </c>
      <c r="AF28" s="29" t="e">
        <f>IF(Tabulka3811142283440465258[[#This Row],[Výsledný čas]]="N",5,IF(Tabulka3811142283440465258[[#This Row],[Výsledný čas]]="D",0,IF(Tabulka3811142283440465258[[#This Row],[Výsledný čas]]="NEÚČAST",0,Tabulka8[[#Totals],[Týmy ženy]]+6-Tabulka3811142283440465258[[#This Row],[Umístění]])))</f>
        <v>#N/A</v>
      </c>
      <c r="AH28" s="31" t="e">
        <f>_xlfn.RANK.EQ(Tabulka5912153293541475359[[#This Row],[Body]],Tabulka5912153293541475359[Body],0)</f>
        <v>#N/A</v>
      </c>
      <c r="AI28" s="51" t="s">
        <v>35</v>
      </c>
      <c r="AJ28" s="29" t="e">
        <f>VLOOKUP(Tabulka5912153293541475359[[#This Row],[Tým]],Tabulka3811142283440465258[[Tým]:[Body]],6,FALSE)+Tabulka5912153293541475359[[#This Row],[ ]]</f>
        <v>#N/A</v>
      </c>
      <c r="AK28" s="75">
        <f>VLOOKUP(Tabulka5912153293541475359[[#This Row],[Tým]],Tabulka59121532935414753[[Tým]:[Body]],2,FALSE)</f>
        <v>81</v>
      </c>
      <c r="AL28" s="47" t="e">
        <f>Tabulka5912153293541475359[[#This Row],[Umístění]]</f>
        <v>#N/A</v>
      </c>
      <c r="AM28" s="15"/>
      <c r="AP28" s="1"/>
    </row>
    <row r="29" spans="2:42" ht="24.95" customHeight="1" x14ac:dyDescent="0.4">
      <c r="D29" s="16"/>
      <c r="N29" s="68"/>
      <c r="P29" s="7"/>
      <c r="Q29" s="8"/>
      <c r="R29" s="8"/>
      <c r="Z29" s="31" t="e">
        <f>IF(OR(Tabulka3811142283440465258[Výsledný čas]="N",Tabulka3811142283440465258[Výsledný čas]="D",Tabulka3811142283440465258[Výsledný čas]="NEÚČAST"),Uvod!$E$6,_xlfn.RANK.EQ(Tabulka3811142283440465258[[#This Row],[ ]],Tabulka3811142283440465258[[ ]],1))</f>
        <v>#N/A</v>
      </c>
      <c r="AA29" s="51" t="s">
        <v>22</v>
      </c>
      <c r="AB29" s="44" t="e">
        <f>VLOOKUP(Tabulka3811142283440465258[[#This Row],[Tým]],Tabulka1710136303642485460[[Tým]:[ ]],2,FALSE)</f>
        <v>#N/A</v>
      </c>
      <c r="AC29" s="44" t="e">
        <f>VLOOKUP(Tabulka3811142283440465258[[#This Row],[Tým]],Tabulka1710136303642485460[[Tým]:[ ]],3,FALSE)</f>
        <v>#N/A</v>
      </c>
      <c r="AD29" s="25" t="e">
        <f>VLOOKUP(Tabulka3811142283440465258[[#This Row],[Tým]],Tabulka1710136303642485460[[Tým]:[ ]],4,FALSE)</f>
        <v>#N/A</v>
      </c>
      <c r="AE29" s="25" t="e">
        <f>VLOOKUP(Tabulka3811142283440465258[[#This Row],[Tým]],Tabulka1710136303642485460[[Tým]:[ ]],7,FALSE)</f>
        <v>#N/A</v>
      </c>
      <c r="AF29" s="29" t="e">
        <f>IF(Tabulka3811142283440465258[[#This Row],[Výsledný čas]]="N",5,IF(Tabulka3811142283440465258[[#This Row],[Výsledný čas]]="D",0,IF(Tabulka3811142283440465258[[#This Row],[Výsledný čas]]="NEÚČAST",0,Tabulka8[[#Totals],[Týmy ženy]]+6-Tabulka3811142283440465258[[#This Row],[Umístění]])))</f>
        <v>#N/A</v>
      </c>
      <c r="AH29" s="31" t="e">
        <f>_xlfn.RANK.EQ(Tabulka5912153293541475359[[#This Row],[Body]],Tabulka5912153293541475359[Body],0)</f>
        <v>#N/A</v>
      </c>
      <c r="AI29" s="51" t="s">
        <v>22</v>
      </c>
      <c r="AJ29" s="29" t="e">
        <f>VLOOKUP(Tabulka5912153293541475359[[#This Row],[Tým]],Tabulka3811142283440465258[[Tým]:[Body]],6,FALSE)+Tabulka5912153293541475359[[#This Row],[ ]]</f>
        <v>#N/A</v>
      </c>
      <c r="AK29" s="75">
        <f>VLOOKUP(Tabulka5912153293541475359[[#This Row],[Tým]],Tabulka59121532935414753[[Tým]:[Body]],2,FALSE)</f>
        <v>101</v>
      </c>
      <c r="AL29" s="47" t="e">
        <f>Tabulka5912153293541475359[[#This Row],[Umístění]]</f>
        <v>#N/A</v>
      </c>
      <c r="AP29" s="1"/>
    </row>
    <row r="30" spans="2:42" ht="24.95" customHeight="1" thickBot="1" x14ac:dyDescent="0.45">
      <c r="D30" s="16"/>
      <c r="N30" s="68"/>
      <c r="P30" s="7"/>
      <c r="Q30" s="8"/>
      <c r="R30" s="8"/>
      <c r="Z30" s="31" t="e">
        <f>IF(OR(Tabulka3811142283440465258[Výsledný čas]="N",Tabulka3811142283440465258[Výsledný čas]="D",Tabulka3811142283440465258[Výsledný čas]="NEÚČAST"),Uvod!$E$6,_xlfn.RANK.EQ(Tabulka3811142283440465258[[#This Row],[ ]],Tabulka3811142283440465258[[ ]],1))</f>
        <v>#N/A</v>
      </c>
      <c r="AA30" s="51" t="s">
        <v>21</v>
      </c>
      <c r="AB30" s="44" t="e">
        <f>VLOOKUP(Tabulka3811142283440465258[[#This Row],[Tým]],Tabulka1710136303642485460[[Tým]:[ ]],2,FALSE)</f>
        <v>#N/A</v>
      </c>
      <c r="AC30" s="44" t="e">
        <f>VLOOKUP(Tabulka3811142283440465258[[#This Row],[Tým]],Tabulka1710136303642485460[[Tým]:[ ]],3,FALSE)</f>
        <v>#N/A</v>
      </c>
      <c r="AD30" s="25" t="e">
        <f>VLOOKUP(Tabulka3811142283440465258[[#This Row],[Tým]],Tabulka1710136303642485460[[Tým]:[ ]],4,FALSE)</f>
        <v>#N/A</v>
      </c>
      <c r="AE30" s="25" t="e">
        <f>VLOOKUP(Tabulka3811142283440465258[[#This Row],[Tým]],Tabulka1710136303642485460[[Tým]:[ ]],7,FALSE)</f>
        <v>#N/A</v>
      </c>
      <c r="AF30" s="29" t="e">
        <f>IF(Tabulka3811142283440465258[[#This Row],[Výsledný čas]]="N",5,IF(Tabulka3811142283440465258[[#This Row],[Výsledný čas]]="D",0,IF(Tabulka3811142283440465258[[#This Row],[Výsledný čas]]="NEÚČAST",0,Tabulka8[[#Totals],[Týmy ženy]]+6-Tabulka3811142283440465258[[#This Row],[Umístění]])))</f>
        <v>#N/A</v>
      </c>
      <c r="AH30" s="31" t="e">
        <f>_xlfn.RANK.EQ(Tabulka5912153293541475359[[#This Row],[Body]],Tabulka5912153293541475359[Body],0)</f>
        <v>#N/A</v>
      </c>
      <c r="AI30" s="51" t="s">
        <v>21</v>
      </c>
      <c r="AJ30" s="29" t="e">
        <f>VLOOKUP(Tabulka5912153293541475359[[#This Row],[Tým]],Tabulka3811142283440465258[[Tým]:[Body]],6,FALSE)+Tabulka5912153293541475359[[#This Row],[ ]]</f>
        <v>#N/A</v>
      </c>
      <c r="AK30" s="76">
        <f>VLOOKUP(Tabulka5912153293541475359[[#This Row],[Tým]],Tabulka59121532935414753[[Tým]:[Body]],2,FALSE)</f>
        <v>63</v>
      </c>
      <c r="AL30" s="47" t="e">
        <f>Tabulka5912153293541475359[[#This Row],[Umístění]]</f>
        <v>#N/A</v>
      </c>
      <c r="AP30" s="1"/>
    </row>
    <row r="31" spans="2:42" ht="24.95" customHeight="1" x14ac:dyDescent="0.4">
      <c r="D31" s="16"/>
      <c r="P31" s="7"/>
      <c r="Q31" s="8"/>
      <c r="R31" s="8"/>
      <c r="Z31" s="31" t="e">
        <f>IF(OR(Tabulka3811142283440465258[Výsledný čas]="N",Tabulka3811142283440465258[Výsledný čas]="D",Tabulka3811142283440465258[Výsledný čas]="NEÚČAST"),Uvod!$E$6,_xlfn.RANK.EQ(Tabulka3811142283440465258[[#This Row],[ ]],Tabulka3811142283440465258[[ ]],1))</f>
        <v>#N/A</v>
      </c>
      <c r="AA31" s="51" t="s">
        <v>23</v>
      </c>
      <c r="AB31" s="44" t="e">
        <f>VLOOKUP(Tabulka3811142283440465258[[#This Row],[Tým]],Tabulka1710136303642485460[[Tým]:[ ]],2,FALSE)</f>
        <v>#N/A</v>
      </c>
      <c r="AC31" s="44" t="e">
        <f>VLOOKUP(Tabulka3811142283440465258[[#This Row],[Tým]],Tabulka1710136303642485460[[Tým]:[ ]],3,FALSE)</f>
        <v>#N/A</v>
      </c>
      <c r="AD31" s="25" t="e">
        <f>VLOOKUP(Tabulka3811142283440465258[[#This Row],[Tým]],Tabulka1710136303642485460[[Tým]:[ ]],4,FALSE)</f>
        <v>#N/A</v>
      </c>
      <c r="AE31" s="25" t="e">
        <f>VLOOKUP(Tabulka3811142283440465258[[#This Row],[Tým]],Tabulka1710136303642485460[[Tým]:[ ]],7,FALSE)</f>
        <v>#N/A</v>
      </c>
      <c r="AF31" s="29" t="e">
        <f>IF(Tabulka3811142283440465258[[#This Row],[Výsledný čas]]="N",5,IF(Tabulka3811142283440465258[[#This Row],[Výsledný čas]]="D",0,IF(Tabulka3811142283440465258[[#This Row],[Výsledný čas]]="NEÚČAST",0,Tabulka8[[#Totals],[Týmy ženy]]+6-Tabulka3811142283440465258[[#This Row],[Umístění]])))</f>
        <v>#N/A</v>
      </c>
      <c r="AH31" s="31" t="e">
        <f>_xlfn.RANK.EQ(Tabulka5912153293541475359[[#This Row],[Body]],Tabulka5912153293541475359[Body],0)</f>
        <v>#N/A</v>
      </c>
      <c r="AI31" s="51" t="s">
        <v>23</v>
      </c>
      <c r="AJ31" s="29" t="e">
        <f>VLOOKUP(Tabulka5912153293541475359[[#This Row],[Tým]],Tabulka3811142283440465258[[Tým]:[Body]],6,FALSE)+Tabulka5912153293541475359[[#This Row],[ ]]</f>
        <v>#N/A</v>
      </c>
      <c r="AK31" s="82">
        <f>VLOOKUP(Tabulka5912153293541475359[[#This Row],[Tým]],Tabulka59121532935414753[[Tým]:[Body]],2,FALSE)</f>
        <v>68</v>
      </c>
      <c r="AL31" s="47" t="e">
        <f>Tabulka5912153293541475359[[#This Row],[Umístění]]</f>
        <v>#N/A</v>
      </c>
      <c r="AP31" s="1"/>
    </row>
    <row r="32" spans="2:42" ht="24.95" customHeight="1" x14ac:dyDescent="0.4">
      <c r="D32" s="16"/>
      <c r="P32" s="7"/>
      <c r="Q32" s="8"/>
      <c r="R32" s="8"/>
      <c r="Z32" s="31" t="e">
        <f>IF(OR(Tabulka3811142283440465258[Výsledný čas]="N",Tabulka3811142283440465258[Výsledný čas]="D",Tabulka3811142283440465258[Výsledný čas]="NEÚČAST"),Uvod!$E$6,_xlfn.RANK.EQ(Tabulka3811142283440465258[[#This Row],[ ]],Tabulka3811142283440465258[[ ]],1))</f>
        <v>#N/A</v>
      </c>
      <c r="AA32" s="51" t="s">
        <v>19</v>
      </c>
      <c r="AB32" s="44" t="e">
        <f>VLOOKUP(Tabulka3811142283440465258[[#This Row],[Tým]],Tabulka1710136303642485460[[Tým]:[ ]],2,FALSE)</f>
        <v>#N/A</v>
      </c>
      <c r="AC32" s="44" t="e">
        <f>VLOOKUP(Tabulka3811142283440465258[[#This Row],[Tým]],Tabulka1710136303642485460[[Tým]:[ ]],3,FALSE)</f>
        <v>#N/A</v>
      </c>
      <c r="AD32" s="25" t="e">
        <f>VLOOKUP(Tabulka3811142283440465258[[#This Row],[Tým]],Tabulka1710136303642485460[[Tým]:[ ]],4,FALSE)</f>
        <v>#N/A</v>
      </c>
      <c r="AE32" s="25" t="e">
        <f>VLOOKUP(Tabulka3811142283440465258[[#This Row],[Tým]],Tabulka1710136303642485460[[Tým]:[ ]],7,FALSE)</f>
        <v>#N/A</v>
      </c>
      <c r="AF32" s="29" t="e">
        <f>IF(Tabulka3811142283440465258[[#This Row],[Výsledný čas]]="N",5,IF(Tabulka3811142283440465258[[#This Row],[Výsledný čas]]="D",0,IF(Tabulka3811142283440465258[[#This Row],[Výsledný čas]]="NEÚČAST",0,Tabulka8[[#Totals],[Týmy ženy]]+6-Tabulka3811142283440465258[[#This Row],[Umístění]])))</f>
        <v>#N/A</v>
      </c>
      <c r="AH32" s="31" t="e">
        <f>_xlfn.RANK.EQ(Tabulka5912153293541475359[[#This Row],[Body]],Tabulka5912153293541475359[Body],0)</f>
        <v>#N/A</v>
      </c>
      <c r="AI32" s="51" t="s">
        <v>19</v>
      </c>
      <c r="AJ32" s="29" t="e">
        <f>VLOOKUP(Tabulka5912153293541475359[[#This Row],[Tým]],Tabulka3811142283440465258[[Tým]:[Body]],6,FALSE)+Tabulka5912153293541475359[[#This Row],[ ]]</f>
        <v>#N/A</v>
      </c>
      <c r="AK32" s="82">
        <f>VLOOKUP(Tabulka5912153293541475359[[#This Row],[Tým]],Tabulka59121532935414753[[Tým]:[Body]],2,FALSE)</f>
        <v>71</v>
      </c>
      <c r="AL32" s="47" t="e">
        <f>Tabulka5912153293541475359[[#This Row],[Umístění]]</f>
        <v>#N/A</v>
      </c>
      <c r="AP32" s="1"/>
    </row>
    <row r="33" spans="4:42" ht="24.95" customHeight="1" x14ac:dyDescent="0.4">
      <c r="D33" s="16"/>
      <c r="P33" s="7"/>
      <c r="Q33" s="8"/>
      <c r="R33" s="8"/>
      <c r="Z33" s="31" t="e">
        <f>IF(OR(Tabulka3811142283440465258[Výsledný čas]="N",Tabulka3811142283440465258[Výsledný čas]="D",Tabulka3811142283440465258[Výsledný čas]="NEÚČAST"),Uvod!$E$6,_xlfn.RANK.EQ(Tabulka3811142283440465258[[#This Row],[ ]],Tabulka3811142283440465258[[ ]],1))</f>
        <v>#N/A</v>
      </c>
      <c r="AA33" s="51" t="s">
        <v>15</v>
      </c>
      <c r="AB33" s="44" t="e">
        <f>VLOOKUP(Tabulka3811142283440465258[[#This Row],[Tým]],Tabulka1710136303642485460[[Tým]:[ ]],2,FALSE)</f>
        <v>#N/A</v>
      </c>
      <c r="AC33" s="44" t="e">
        <f>VLOOKUP(Tabulka3811142283440465258[[#This Row],[Tým]],Tabulka1710136303642485460[[Tým]:[ ]],3,FALSE)</f>
        <v>#N/A</v>
      </c>
      <c r="AD33" s="25" t="e">
        <f>VLOOKUP(Tabulka3811142283440465258[[#This Row],[Tým]],Tabulka1710136303642485460[[Tým]:[ ]],4,FALSE)</f>
        <v>#N/A</v>
      </c>
      <c r="AE33" s="25" t="e">
        <f>VLOOKUP(Tabulka3811142283440465258[[#This Row],[Tým]],Tabulka1710136303642485460[[Tým]:[ ]],7,FALSE)</f>
        <v>#N/A</v>
      </c>
      <c r="AF33" s="29" t="e">
        <f>IF(Tabulka3811142283440465258[[#This Row],[Výsledný čas]]="N",5,IF(Tabulka3811142283440465258[[#This Row],[Výsledný čas]]="D",0,IF(Tabulka3811142283440465258[[#This Row],[Výsledný čas]]="NEÚČAST",0,Tabulka8[[#Totals],[Týmy ženy]]+6-Tabulka3811142283440465258[[#This Row],[Umístění]])))</f>
        <v>#N/A</v>
      </c>
      <c r="AH33" s="31" t="e">
        <f>_xlfn.RANK.EQ(Tabulka5912153293541475359[[#This Row],[Body]],Tabulka5912153293541475359[Body],0)</f>
        <v>#N/A</v>
      </c>
      <c r="AI33" s="51" t="s">
        <v>15</v>
      </c>
      <c r="AJ33" s="29" t="e">
        <f>VLOOKUP(Tabulka5912153293541475359[[#This Row],[Tým]],Tabulka3811142283440465258[[Tým]:[Body]],6,FALSE)+Tabulka5912153293541475359[[#This Row],[ ]]</f>
        <v>#N/A</v>
      </c>
      <c r="AK33" s="82">
        <f>VLOOKUP(Tabulka5912153293541475359[[#This Row],[Tým]],Tabulka59121532935414753[[Tým]:[Body]],2,FALSE)</f>
        <v>60</v>
      </c>
      <c r="AL33" s="47" t="e">
        <f>Tabulka5912153293541475359[[#This Row],[Umístění]]</f>
        <v>#N/A</v>
      </c>
      <c r="AP33" s="1"/>
    </row>
    <row r="34" spans="4:42" ht="24.95" customHeight="1" x14ac:dyDescent="0.4">
      <c r="D34" s="16"/>
      <c r="N34" s="70"/>
      <c r="P34" s="7"/>
      <c r="Q34" s="8"/>
      <c r="R34" s="8"/>
      <c r="Z34" s="31" t="e">
        <f>IF(OR(Tabulka3811142283440465258[Výsledný čas]="N",Tabulka3811142283440465258[Výsledný čas]="D",Tabulka3811142283440465258[Výsledný čas]="NEÚČAST"),Uvod!$E$6,_xlfn.RANK.EQ(Tabulka3811142283440465258[[#This Row],[ ]],Tabulka3811142283440465258[[ ]],1))</f>
        <v>#N/A</v>
      </c>
      <c r="AA34" s="51" t="s">
        <v>16</v>
      </c>
      <c r="AB34" s="44" t="e">
        <f>VLOOKUP(Tabulka3811142283440465258[[#This Row],[Tým]],Tabulka1710136303642485460[[Tým]:[ ]],2,FALSE)</f>
        <v>#N/A</v>
      </c>
      <c r="AC34" s="44" t="e">
        <f>VLOOKUP(Tabulka3811142283440465258[[#This Row],[Tým]],Tabulka1710136303642485460[[Tým]:[ ]],3,FALSE)</f>
        <v>#N/A</v>
      </c>
      <c r="AD34" s="25" t="e">
        <f>VLOOKUP(Tabulka3811142283440465258[[#This Row],[Tým]],Tabulka1710136303642485460[[Tým]:[ ]],4,FALSE)</f>
        <v>#N/A</v>
      </c>
      <c r="AE34" s="25" t="e">
        <f>VLOOKUP(Tabulka3811142283440465258[[#This Row],[Tým]],Tabulka1710136303642485460[[Tým]:[ ]],7,FALSE)</f>
        <v>#N/A</v>
      </c>
      <c r="AF34" s="29" t="e">
        <f>IF(Tabulka3811142283440465258[[#This Row],[Výsledný čas]]="N",5,IF(Tabulka3811142283440465258[[#This Row],[Výsledný čas]]="D",0,IF(Tabulka3811142283440465258[[#This Row],[Výsledný čas]]="NEÚČAST",0,Tabulka8[[#Totals],[Týmy ženy]]+6-Tabulka3811142283440465258[[#This Row],[Umístění]])))</f>
        <v>#N/A</v>
      </c>
      <c r="AH34" s="31" t="e">
        <f>_xlfn.RANK.EQ(Tabulka5912153293541475359[[#This Row],[Body]],Tabulka5912153293541475359[Body],0)</f>
        <v>#N/A</v>
      </c>
      <c r="AI34" s="51" t="s">
        <v>16</v>
      </c>
      <c r="AJ34" s="29" t="e">
        <f>VLOOKUP(Tabulka5912153293541475359[[#This Row],[Tým]],Tabulka3811142283440465258[[Tým]:[Body]],6,FALSE)+Tabulka5912153293541475359[[#This Row],[ ]]</f>
        <v>#N/A</v>
      </c>
      <c r="AK34" s="82">
        <f>VLOOKUP(Tabulka5912153293541475359[[#This Row],[Tým]],Tabulka59121532935414753[[Tým]:[Body]],2,FALSE)</f>
        <v>62</v>
      </c>
      <c r="AL34" s="47" t="e">
        <f>Tabulka5912153293541475359[[#This Row],[Umístění]]</f>
        <v>#N/A</v>
      </c>
      <c r="AP34" s="1"/>
    </row>
    <row r="35" spans="4:42" ht="24.95" customHeight="1" x14ac:dyDescent="0.4">
      <c r="D35" s="16"/>
      <c r="N35" s="70"/>
      <c r="P35" s="7"/>
      <c r="Q35" s="8"/>
      <c r="R35" s="8"/>
      <c r="Z35" s="31" t="e">
        <f>IF(OR(Tabulka3811142283440465258[Výsledný čas]="N",Tabulka3811142283440465258[Výsledný čas]="D",Tabulka3811142283440465258[Výsledný čas]="NEÚČAST"),Uvod!$E$6,_xlfn.RANK.EQ(Tabulka3811142283440465258[[#This Row],[ ]],Tabulka3811142283440465258[[ ]],1))</f>
        <v>#N/A</v>
      </c>
      <c r="AA35" s="51" t="s">
        <v>24</v>
      </c>
      <c r="AB35" s="44" t="e">
        <f>VLOOKUP(Tabulka3811142283440465258[[#This Row],[Tým]],Tabulka1710136303642485460[[Tým]:[ ]],2,FALSE)</f>
        <v>#N/A</v>
      </c>
      <c r="AC35" s="44" t="e">
        <f>VLOOKUP(Tabulka3811142283440465258[[#This Row],[Tým]],Tabulka1710136303642485460[[Tým]:[ ]],3,FALSE)</f>
        <v>#N/A</v>
      </c>
      <c r="AD35" s="25" t="e">
        <f>VLOOKUP(Tabulka3811142283440465258[[#This Row],[Tým]],Tabulka1710136303642485460[[Tým]:[ ]],4,FALSE)</f>
        <v>#N/A</v>
      </c>
      <c r="AE35" s="25" t="e">
        <f>VLOOKUP(Tabulka3811142283440465258[[#This Row],[Tým]],Tabulka1710136303642485460[[Tým]:[ ]],7,FALSE)</f>
        <v>#N/A</v>
      </c>
      <c r="AF35" s="29" t="e">
        <f>IF(Tabulka3811142283440465258[[#This Row],[Výsledný čas]]="N",5,IF(Tabulka3811142283440465258[[#This Row],[Výsledný čas]]="D",0,IF(Tabulka3811142283440465258[[#This Row],[Výsledný čas]]="NEÚČAST",0,Tabulka8[[#Totals],[Týmy ženy]]+6-Tabulka3811142283440465258[[#This Row],[Umístění]])))</f>
        <v>#N/A</v>
      </c>
      <c r="AH35" s="31" t="e">
        <f>_xlfn.RANK.EQ(Tabulka5912153293541475359[[#This Row],[Body]],Tabulka5912153293541475359[Body],0)</f>
        <v>#N/A</v>
      </c>
      <c r="AI35" s="51" t="s">
        <v>24</v>
      </c>
      <c r="AJ35" s="29" t="e">
        <f>VLOOKUP(Tabulka5912153293541475359[[#This Row],[Tým]],Tabulka3811142283440465258[[Tým]:[Body]],6,FALSE)+Tabulka5912153293541475359[[#This Row],[ ]]</f>
        <v>#N/A</v>
      </c>
      <c r="AK35" s="82">
        <f>VLOOKUP(Tabulka5912153293541475359[[#This Row],[Tým]],Tabulka59121532935414753[[Tým]:[Body]],2,FALSE)</f>
        <v>45</v>
      </c>
      <c r="AL35" s="47" t="e">
        <f>Tabulka5912153293541475359[[#This Row],[Umístění]]</f>
        <v>#N/A</v>
      </c>
      <c r="AP35" s="1"/>
    </row>
    <row r="36" spans="4:42" ht="24.95" customHeight="1" thickBot="1" x14ac:dyDescent="0.45">
      <c r="D36" s="16"/>
      <c r="P36" s="7"/>
      <c r="Q36" s="8"/>
      <c r="R36" s="8"/>
      <c r="Z36" s="33" t="e">
        <f>IF(OR(Tabulka3811142283440465258[Výsledný čas]="N",Tabulka3811142283440465258[Výsledný čas]="D",Tabulka3811142283440465258[Výsledný čas]="NEÚČAST"),Uvod!$E$6,_xlfn.RANK.EQ(Tabulka3811142283440465258[[#This Row],[ ]],Tabulka3811142283440465258[[ ]],1))</f>
        <v>#N/A</v>
      </c>
      <c r="AA36" s="62" t="s">
        <v>36</v>
      </c>
      <c r="AB36" s="45" t="e">
        <f>VLOOKUP(Tabulka3811142283440465258[[#This Row],[Tým]],Tabulka1710136303642485460[[Tým]:[ ]],2,FALSE)</f>
        <v>#N/A</v>
      </c>
      <c r="AC36" s="45" t="e">
        <f>VLOOKUP(Tabulka3811142283440465258[[#This Row],[Tým]],Tabulka1710136303642485460[[Tým]:[ ]],3,FALSE)</f>
        <v>#N/A</v>
      </c>
      <c r="AD36" s="34" t="e">
        <f>VLOOKUP(Tabulka3811142283440465258[[#This Row],[Tým]],Tabulka1710136303642485460[[Tým]:[ ]],4,FALSE)</f>
        <v>#N/A</v>
      </c>
      <c r="AE36" s="34" t="e">
        <f>VLOOKUP(Tabulka3811142283440465258[[#This Row],[Tým]],Tabulka1710136303642485460[[Tým]:[ ]],7,FALSE)</f>
        <v>#N/A</v>
      </c>
      <c r="AF36" s="36" t="e">
        <f>IF(Tabulka3811142283440465258[[#This Row],[Výsledný čas]]="N",5,IF(Tabulka3811142283440465258[[#This Row],[Výsledný čas]]="D",0,IF(Tabulka3811142283440465258[[#This Row],[Výsledný čas]]="NEÚČAST",0,Tabulka8[[#Totals],[Týmy ženy]]+6-Tabulka3811142283440465258[[#This Row],[Umístění]])))</f>
        <v>#N/A</v>
      </c>
      <c r="AH36" s="33" t="e">
        <f>_xlfn.RANK.EQ(Tabulka5912153293541475359[[#This Row],[Body]],Tabulka5912153293541475359[Body],0)</f>
        <v>#N/A</v>
      </c>
      <c r="AI36" s="62" t="s">
        <v>36</v>
      </c>
      <c r="AJ36" s="36" t="e">
        <f>VLOOKUP(Tabulka5912153293541475359[[#This Row],[Tým]],Tabulka3811142283440465258[[Tým]:[Body]],6,FALSE)+Tabulka5912153293541475359[[#This Row],[ ]]</f>
        <v>#N/A</v>
      </c>
      <c r="AK36" s="82">
        <f>VLOOKUP(Tabulka5912153293541475359[[#This Row],[Tým]],Tabulka59121532935414753[[Tým]:[Body]],2,FALSE)</f>
        <v>63</v>
      </c>
      <c r="AL36" s="93" t="e">
        <f>Tabulka5912153293541475359[[#This Row],[Umístění]]</f>
        <v>#N/A</v>
      </c>
      <c r="AP36" s="1"/>
    </row>
    <row r="37" spans="4:42" ht="24.95" customHeight="1" x14ac:dyDescent="0.4">
      <c r="D37" s="16"/>
      <c r="P37" s="7"/>
      <c r="Q37" s="8"/>
      <c r="R37" s="8"/>
      <c r="AB37" s="3"/>
      <c r="AC37" s="3"/>
      <c r="AK37" s="4"/>
    </row>
    <row r="38" spans="4:42" ht="24.95" customHeight="1" x14ac:dyDescent="0.4">
      <c r="D38" s="16"/>
      <c r="P38" s="7"/>
      <c r="Q38" s="8"/>
      <c r="R38" s="8"/>
      <c r="AB38" s="3"/>
      <c r="AC38" s="3"/>
      <c r="AK38" s="4"/>
    </row>
    <row r="39" spans="4:42" ht="24.95" customHeight="1" x14ac:dyDescent="0.4">
      <c r="D39" s="16"/>
      <c r="N39" s="68"/>
      <c r="P39" s="7"/>
      <c r="Q39" s="8"/>
      <c r="R39" s="8"/>
      <c r="AB39" s="3"/>
      <c r="AC39" s="3"/>
      <c r="AK39" s="4"/>
    </row>
    <row r="40" spans="4:42" ht="24.95" customHeight="1" x14ac:dyDescent="0.4">
      <c r="D40" s="16"/>
      <c r="N40" s="68"/>
      <c r="P40" s="7"/>
      <c r="Q40" s="8"/>
      <c r="R40" s="8"/>
      <c r="AB40" s="3"/>
      <c r="AC40" s="3"/>
      <c r="AK40" s="4"/>
    </row>
    <row r="41" spans="4:42" ht="24.95" customHeight="1" x14ac:dyDescent="0.4">
      <c r="D41" s="16"/>
      <c r="P41" s="7"/>
      <c r="Q41" s="8"/>
      <c r="R41" s="8"/>
      <c r="AB41" s="3"/>
      <c r="AC41" s="3"/>
      <c r="AK41" s="4"/>
    </row>
    <row r="42" spans="4:42" ht="24.95" customHeight="1" x14ac:dyDescent="0.4">
      <c r="D42" s="16"/>
      <c r="P42" s="7"/>
      <c r="Q42" s="8"/>
      <c r="R42" s="8"/>
      <c r="AB42" s="3"/>
      <c r="AC42" s="3"/>
      <c r="AK42" s="4"/>
    </row>
    <row r="43" spans="4:42" ht="24.95" customHeight="1" x14ac:dyDescent="0.4">
      <c r="D43" s="16"/>
      <c r="P43" s="7"/>
      <c r="Q43" s="8"/>
      <c r="R43" s="8"/>
      <c r="AB43" s="3"/>
      <c r="AC43" s="3"/>
      <c r="AK43" s="4"/>
    </row>
    <row r="44" spans="4:42" ht="24.95" customHeight="1" x14ac:dyDescent="0.4">
      <c r="D44" s="16"/>
      <c r="N44" s="68"/>
      <c r="P44" s="7"/>
      <c r="Q44" s="8"/>
      <c r="R44" s="8"/>
    </row>
    <row r="45" spans="4:42" ht="24.95" customHeight="1" x14ac:dyDescent="0.4">
      <c r="D45" s="16"/>
      <c r="N45" s="68"/>
      <c r="P45" s="7"/>
      <c r="Q45" s="8"/>
      <c r="R45" s="8"/>
    </row>
    <row r="46" spans="4:42" ht="24.95" customHeight="1" x14ac:dyDescent="0.4">
      <c r="D46" s="16"/>
      <c r="P46" s="7"/>
      <c r="Q46" s="8"/>
      <c r="R46" s="8"/>
    </row>
    <row r="47" spans="4:42" ht="24.95" customHeight="1" x14ac:dyDescent="0.4">
      <c r="D47" s="16"/>
      <c r="P47" s="7"/>
      <c r="Q47" s="8"/>
      <c r="R47" s="8"/>
    </row>
    <row r="48" spans="4:42" ht="24.95" customHeight="1" x14ac:dyDescent="0.4">
      <c r="D48" s="16"/>
      <c r="P48" s="7"/>
      <c r="Q48" s="8"/>
      <c r="R48" s="8"/>
    </row>
    <row r="49" spans="4:16" ht="24.95" customHeight="1" x14ac:dyDescent="0.4">
      <c r="D49" s="16"/>
      <c r="P49" s="16"/>
    </row>
    <row r="50" spans="4:16" ht="24.95" customHeight="1" x14ac:dyDescent="0.4">
      <c r="D50" s="16"/>
      <c r="P50" s="16"/>
    </row>
    <row r="51" spans="4:16" ht="24.95" customHeight="1" x14ac:dyDescent="0.4">
      <c r="D51" s="16"/>
      <c r="P51" s="16"/>
    </row>
    <row r="52" spans="4:16" ht="24.95" customHeight="1" x14ac:dyDescent="0.4">
      <c r="D52" s="16"/>
      <c r="P52" s="16"/>
    </row>
    <row r="53" spans="4:16" ht="24.95" customHeight="1" x14ac:dyDescent="0.4">
      <c r="D53" s="16"/>
      <c r="P53" s="16"/>
    </row>
  </sheetData>
  <mergeCells count="6">
    <mergeCell ref="B2:J2"/>
    <mergeCell ref="N2:V2"/>
    <mergeCell ref="Z2:AF2"/>
    <mergeCell ref="AH2:AK2"/>
    <mergeCell ref="Z25:AF25"/>
    <mergeCell ref="AH25:AK25"/>
  </mergeCells>
  <phoneticPr fontId="12" type="noConversion"/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44016-6AA3-44E1-B1DB-7DC1B8839266}">
  <dimension ref="A1:AP53"/>
  <sheetViews>
    <sheetView showGridLines="0" zoomScale="55" zoomScaleNormal="55" workbookViewId="0">
      <selection activeCell="AH3" sqref="AH3"/>
    </sheetView>
  </sheetViews>
  <sheetFormatPr defaultRowHeight="26.25" x14ac:dyDescent="0.4"/>
  <cols>
    <col min="1" max="1" width="5.7109375" style="1" customWidth="1"/>
    <col min="2" max="3" width="16.7109375" style="1" customWidth="1"/>
    <col min="4" max="4" width="35.7109375" style="1" customWidth="1"/>
    <col min="5" max="6" width="16.7109375" style="1" customWidth="1"/>
    <col min="7" max="7" width="20.7109375" style="1" customWidth="1"/>
    <col min="8" max="9" width="20.7109375" style="1" hidden="1" customWidth="1"/>
    <col min="10" max="12" width="11.5703125" style="1" hidden="1" customWidth="1"/>
    <col min="13" max="13" width="10.7109375" style="1" customWidth="1"/>
    <col min="14" max="15" width="16.7109375" style="1" customWidth="1"/>
    <col min="16" max="16" width="35.7109375" style="1" customWidth="1"/>
    <col min="17" max="18" width="16.7109375" style="1" customWidth="1"/>
    <col min="19" max="19" width="20.7109375" style="1" customWidth="1"/>
    <col min="20" max="21" width="20.7109375" style="1" hidden="1" customWidth="1"/>
    <col min="22" max="24" width="13.7109375" style="1" hidden="1" customWidth="1"/>
    <col min="25" max="25" width="9.140625" style="1"/>
    <col min="26" max="26" width="16.7109375" style="1" customWidth="1"/>
    <col min="27" max="27" width="35.7109375" style="1" customWidth="1"/>
    <col min="28" max="29" width="16.7109375" style="1" customWidth="1"/>
    <col min="30" max="30" width="20.7109375" style="1" customWidth="1"/>
    <col min="31" max="31" width="13.7109375" style="1" hidden="1" customWidth="1"/>
    <col min="32" max="32" width="12.7109375" style="1" customWidth="1"/>
    <col min="33" max="33" width="9.140625" style="1"/>
    <col min="34" max="34" width="16.7109375" style="1" customWidth="1"/>
    <col min="35" max="35" width="35.7109375" style="1" customWidth="1"/>
    <col min="36" max="36" width="12.7109375" style="1" customWidth="1"/>
    <col min="37" max="38" width="34.42578125" style="1" hidden="1" customWidth="1"/>
    <col min="39" max="41" width="9.140625" style="1"/>
    <col min="42" max="16384" width="9.140625" style="2"/>
  </cols>
  <sheetData>
    <row r="1" spans="1:42" ht="24.95" customHeight="1" thickBot="1" x14ac:dyDescent="0.45"/>
    <row r="2" spans="1:42" ht="24.95" customHeight="1" x14ac:dyDescent="0.4">
      <c r="A2" s="9"/>
      <c r="B2" s="317" t="str">
        <f>"Výsledky - Soutěže "&amp;Uvod!A11&amp;" kola NHHL "&amp;TEXT(Uvod!B11,"d.m. rrrr")&amp;" "&amp;Uvod!C11&amp;" - MUŽI "</f>
        <v xml:space="preserve">Výsledky - Soutěže 9. kola NHHL 25.8. 2023 Štěpánkovice - MUŽI </v>
      </c>
      <c r="C2" s="318"/>
      <c r="D2" s="318"/>
      <c r="E2" s="318"/>
      <c r="F2" s="318"/>
      <c r="G2" s="318"/>
      <c r="H2" s="318"/>
      <c r="I2" s="318"/>
      <c r="J2" s="319"/>
      <c r="K2" s="177"/>
      <c r="L2" s="177"/>
      <c r="M2" s="15"/>
      <c r="N2" s="308" t="str">
        <f>"Výsledky - Soutěže "&amp;Uvod!A11&amp;" kola NHHL "&amp;TEXT(Uvod!B11,"d.m. rrrr")&amp;" "&amp;Uvod!C11&amp;" - ŽENY "</f>
        <v xml:space="preserve">Výsledky - Soutěže 9. kola NHHL 25.8. 2023 Štěpánkovice - ŽENY </v>
      </c>
      <c r="O2" s="309"/>
      <c r="P2" s="309"/>
      <c r="Q2" s="309"/>
      <c r="R2" s="309"/>
      <c r="S2" s="309"/>
      <c r="T2" s="320"/>
      <c r="U2" s="320"/>
      <c r="V2" s="310"/>
      <c r="W2" s="180"/>
      <c r="X2" s="180"/>
      <c r="Y2" s="15"/>
      <c r="Z2" s="324" t="str">
        <f>B2</f>
        <v xml:space="preserve">Výsledky - Soutěže 9. kola NHHL 25.8. 2023 Štěpánkovice - MUŽI </v>
      </c>
      <c r="AA2" s="325"/>
      <c r="AB2" s="325"/>
      <c r="AC2" s="325"/>
      <c r="AD2" s="325"/>
      <c r="AE2" s="325"/>
      <c r="AF2" s="326"/>
      <c r="AH2" s="324" t="s">
        <v>137</v>
      </c>
      <c r="AI2" s="325"/>
      <c r="AJ2" s="325"/>
      <c r="AK2" s="327"/>
      <c r="AL2" s="15"/>
    </row>
    <row r="3" spans="1:42" ht="24.95" customHeight="1" thickBot="1" x14ac:dyDescent="0.45">
      <c r="B3" s="21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3" t="s">
        <v>5</v>
      </c>
      <c r="H3" s="22" t="s">
        <v>74</v>
      </c>
      <c r="I3" s="22" t="s">
        <v>73</v>
      </c>
      <c r="J3" s="1" t="s">
        <v>27</v>
      </c>
      <c r="N3" s="28" t="s">
        <v>0</v>
      </c>
      <c r="O3" s="24" t="s">
        <v>1</v>
      </c>
      <c r="P3" s="24" t="s">
        <v>2</v>
      </c>
      <c r="Q3" s="24" t="s">
        <v>3</v>
      </c>
      <c r="R3" s="24" t="s">
        <v>4</v>
      </c>
      <c r="S3" s="24" t="s">
        <v>5</v>
      </c>
      <c r="T3" s="233" t="s">
        <v>74</v>
      </c>
      <c r="U3" s="233" t="s">
        <v>73</v>
      </c>
      <c r="V3" s="29" t="s">
        <v>27</v>
      </c>
      <c r="Y3" s="15"/>
      <c r="Z3" s="58" t="s">
        <v>1</v>
      </c>
      <c r="AA3" s="59" t="s">
        <v>2</v>
      </c>
      <c r="AB3" s="59" t="s">
        <v>3</v>
      </c>
      <c r="AC3" s="59" t="s">
        <v>4</v>
      </c>
      <c r="AD3" s="59" t="s">
        <v>5</v>
      </c>
      <c r="AE3" s="59" t="s">
        <v>27</v>
      </c>
      <c r="AF3" s="60" t="s">
        <v>7</v>
      </c>
      <c r="AH3" s="58" t="s">
        <v>1</v>
      </c>
      <c r="AI3" s="59" t="s">
        <v>2</v>
      </c>
      <c r="AJ3" s="59" t="s">
        <v>7</v>
      </c>
      <c r="AK3" s="46" t="s">
        <v>27</v>
      </c>
      <c r="AL3" s="94" t="s">
        <v>73</v>
      </c>
      <c r="AM3" s="15"/>
      <c r="AP3" s="1"/>
    </row>
    <row r="4" spans="1:42" ht="24.95" customHeight="1" x14ac:dyDescent="0.4">
      <c r="B4" s="6"/>
      <c r="C4" s="1" t="str">
        <f>IF(Tabulka17101325313743495561[[#This Row],[ ]]="","",IF(Tabulka17101325313743495561[[#This Row],[ ]]="NEÚČAST","",IF(OR(Tabulka17101325313743495561[Výsledný čas]="N",Tabulka17101325313743495561[Výsledný čas]="D"),$L$4-$L$5,_xlfn.RANK.EQ(Tabulka17101325313743495561[[#This Row],[ ]],Tabulka17101325313743495561[[ ]],1))))</f>
        <v/>
      </c>
      <c r="D4" s="7"/>
      <c r="E4" s="8"/>
      <c r="F4" s="8"/>
      <c r="G4" s="9" t="str">
        <f>IF(OR(Tabulka17101325313743495561[[#This Row],[LP]]="N",Tabulka17101325313743495561[[#This Row],[PP]]="N"),"N",IF(OR(Tabulka17101325313743495561[[#This Row],[LP]]="D",Tabulka17101325313743495561[[#This Row],[PP]]="D"),"D",IF(OR(Tabulka17101325313743495561[[#This Row],[LP]]="NEÚČAST",Tabulka17101325313743495561[[#This Row],[PP]]="NEÚČAST"),"NEÚČAST",IF(OR(Tabulka17101325313743495561[[#This Row],[LP]]="",Tabulka17101325313743495561[[#This Row],[PP]]=""),"",MAX(Tabulka17101325313743495561[[#This Row],[LP]:[PP]])))))</f>
        <v/>
      </c>
      <c r="H4" s="1">
        <f>COUNTIF(Tabulka17101325313743495561[[#This Row],[Tým]],"*")</f>
        <v>0</v>
      </c>
      <c r="I4" s="1">
        <f>COUNTIF(Tabulka17101325313743495561[[#This Row],[Výsledný čas]],"NEÚČAST")</f>
        <v>0</v>
      </c>
      <c r="J4" s="1" t="str">
        <f>IF(Tabulka17101325313743495561[[#This Row],[Výsledný čas]]="N",998,IF(Tabulka17101325313743495561[[#This Row],[Výsledný čas]]="D",998,IF(Tabulka17101325313743495561[[#This Row],[Výsledný čas]]="","",Tabulka17101325313743495561[[#This Row],[Výsledný čas]])))</f>
        <v/>
      </c>
      <c r="L4" s="1">
        <f>SUM(Tabulka17101325313743495561[Sloupec2])</f>
        <v>0</v>
      </c>
      <c r="N4" s="30"/>
      <c r="O4" s="25" t="str">
        <f>IF(Tabulka171013630364248546066[[#This Row],[ ]]="","",IF(Tabulka171013630364248546066[[#This Row],[ ]]="NEÚČAST","",IF(OR(Tabulka171013630364248546066[Výsledný čas]="N",Tabulka171013630364248546066[Výsledný čas]="D"),$X$4-$X$5,_xlfn.RANK.EQ(Tabulka171013630364248546066[[#This Row],[ ]],Tabulka171013630364248546066[[ ]],1))))</f>
        <v/>
      </c>
      <c r="P4" s="26"/>
      <c r="Q4" s="5"/>
      <c r="R4" s="5"/>
      <c r="S4" s="25" t="str">
        <f>IF(OR(Tabulka171013630364248546066[[#This Row],[LP]]="N",Tabulka171013630364248546066[[#This Row],[PP]]="N"),"N",IF(OR(Tabulka171013630364248546066[[#This Row],[LP]]="D",Tabulka171013630364248546066[[#This Row],[PP]]="D"),"D",IF(OR(Tabulka171013630364248546066[[#This Row],[LP]]="NEÚČAST",Tabulka171013630364248546066[[#This Row],[PP]]="NEÚČAST"),"NEÚČAST",IF(OR(Tabulka171013630364248546066[[#This Row],[LP]]="",Tabulka171013630364248546066[[#This Row],[PP]]=""),"",MAX(Tabulka171013630364248546066[[#This Row],[LP]:[PP]])))))</f>
        <v/>
      </c>
      <c r="T4" s="46">
        <f>COUNTIF(Tabulka171013630364248546066[[#This Row],[Tým]],"*")</f>
        <v>0</v>
      </c>
      <c r="U4" s="46">
        <f>COUNTIF(Tabulka171013630364248546066[[#This Row],[Výsledný čas]],"NEÚČAST")</f>
        <v>0</v>
      </c>
      <c r="V4" s="29" t="str">
        <f>IF(Tabulka171013630364248546066[[#This Row],[Výsledný čas]]="N",998,IF(Tabulka171013630364248546066[[#This Row],[Výsledný čas]]="D",998,IF(Tabulka171013630364248546066[[#This Row],[Výsledný čas]]="","",Tabulka171013630364248546066[[#This Row],[Výsledný čas]])))</f>
        <v/>
      </c>
      <c r="X4" s="1">
        <f>SUM(Tabulka171013630364248546066[Sloupec2])</f>
        <v>0</v>
      </c>
      <c r="Y4" s="15"/>
      <c r="Z4" s="77" t="e">
        <f>IF(OR(Tabulka38111426323844505662[Výsledný čas]="N",Tabulka38111426323844505662[Výsledný čas]="D",Tabulka38111426323844505662[Výsledný čas]="NEÚČAST"),Uvod!$E$4,_xlfn.RANK.EQ(Tabulka38111426323844505662[[#This Row],[ ]],Tabulka38111426323844505662[[ ]],1))</f>
        <v>#N/A</v>
      </c>
      <c r="AA4" s="78" t="s">
        <v>19</v>
      </c>
      <c r="AB4" s="79" t="e">
        <f>VLOOKUP(Tabulka38111426323844505662[[#This Row],[Tým]],Tabulka17101325313743495561[[Tým]:[ ]],2,FALSE)</f>
        <v>#N/A</v>
      </c>
      <c r="AC4" s="79" t="e">
        <f>VLOOKUP(Tabulka38111426323844505662[[#This Row],[Tým]],Tabulka17101325313743495561[[Tým]:[ ]],3,FALSE)</f>
        <v>#N/A</v>
      </c>
      <c r="AD4" s="80" t="e">
        <f>VLOOKUP(Tabulka38111426323844505662[[#This Row],[Tým]],Tabulka17101325313743495561[[Tým]:[ ]],4,FALSE)</f>
        <v>#N/A</v>
      </c>
      <c r="AE4" s="80" t="e">
        <f>VLOOKUP(Tabulka38111426323844505662[[#This Row],[Tým]],Tabulka17101325313743495561[[Tým]:[ ]],7,FALSE)</f>
        <v>#N/A</v>
      </c>
      <c r="AF4" s="81" t="e">
        <f>IF(Tabulka38111426323844505662[[#This Row],[Výsledný čas]]="N",5,IF(Tabulka38111426323844505662[[#This Row],[Výsledný čas]]="D",0,IF(Tabulka38111426323844505662[[#This Row],[Výsledný čas]]="NEÚČAST",0,Tabulka4[[#Totals],[Týmy muži]]+6-Tabulka38111426323844505662[[#This Row],[Umístění]])))</f>
        <v>#N/A</v>
      </c>
      <c r="AH4" s="77" t="e">
        <f>_xlfn.RANK.EQ(Tabulka59121527333945515763[[#This Row],[Body]],Tabulka59121527333945515763[Body],0)</f>
        <v>#N/A</v>
      </c>
      <c r="AI4" s="78" t="s">
        <v>19</v>
      </c>
      <c r="AJ4" s="81" t="e">
        <f>VLOOKUP(Tabulka59121527333945515763[[#This Row],[Tým]],Tabulka38111426323844505662[[Tým]:[Body]],6,FALSE)+Tabulka59121527333945515763[[#This Row],[ ]]</f>
        <v>#N/A</v>
      </c>
      <c r="AK4" s="82" t="e">
        <f>VLOOKUP(Tabulka59121527333945515763[[#This Row],[Tým]],Tabulka591215273339455157[[Tým]:[Body]],2,FALSE)</f>
        <v>#N/A</v>
      </c>
      <c r="AL4" s="92" t="e">
        <f>Tabulka59121527333945515763[[#This Row],[Umístění]]</f>
        <v>#N/A</v>
      </c>
      <c r="AM4" s="15"/>
      <c r="AP4" s="1"/>
    </row>
    <row r="5" spans="1:42" ht="24.95" customHeight="1" x14ac:dyDescent="0.4">
      <c r="B5" s="6"/>
      <c r="C5" s="1" t="str">
        <f>IF(Tabulka17101325313743495561[[#This Row],[ ]]="","",IF(Tabulka17101325313743495561[[#This Row],[ ]]="NEÚČAST","",IF(OR(Tabulka17101325313743495561[Výsledný čas]="N",Tabulka17101325313743495561[Výsledný čas]="D"),$L$4-$L$5,_xlfn.RANK.EQ(Tabulka17101325313743495561[[#This Row],[ ]],Tabulka17101325313743495561[[ ]],1))))</f>
        <v/>
      </c>
      <c r="D5" s="7"/>
      <c r="E5" s="8"/>
      <c r="F5" s="8"/>
      <c r="G5" s="9" t="str">
        <f>IF(OR(Tabulka17101325313743495561[[#This Row],[LP]]="N",Tabulka17101325313743495561[[#This Row],[PP]]="N"),"N",IF(OR(Tabulka17101325313743495561[[#This Row],[LP]]="D",Tabulka17101325313743495561[[#This Row],[PP]]="D"),"D",IF(OR(Tabulka17101325313743495561[[#This Row],[LP]]="NEÚČAST",Tabulka17101325313743495561[[#This Row],[PP]]="NEÚČAST"),"NEÚČAST",IF(OR(Tabulka17101325313743495561[[#This Row],[LP]]="",Tabulka17101325313743495561[[#This Row],[PP]]=""),"",MAX(Tabulka17101325313743495561[[#This Row],[LP]:[PP]])))))</f>
        <v/>
      </c>
      <c r="H5" s="1">
        <f>COUNTIF(Tabulka17101325313743495561[[#This Row],[Tým]],"*")</f>
        <v>0</v>
      </c>
      <c r="I5" s="1">
        <f>COUNTIF(Tabulka17101325313743495561[[#This Row],[Výsledný čas]],"NEÚČAST")</f>
        <v>0</v>
      </c>
      <c r="J5" s="1" t="str">
        <f>IF(Tabulka17101325313743495561[[#This Row],[Výsledný čas]]="N",998,IF(Tabulka17101325313743495561[[#This Row],[Výsledný čas]]="D",998,IF(Tabulka17101325313743495561[[#This Row],[Výsledný čas]]="","",Tabulka17101325313743495561[[#This Row],[Výsledný čas]])))</f>
        <v/>
      </c>
      <c r="L5" s="1">
        <f>SUM(Tabulka17101325313743495561[Sloupec1])</f>
        <v>0</v>
      </c>
      <c r="N5" s="30"/>
      <c r="O5" s="25" t="str">
        <f>IF(Tabulka171013630364248546066[[#This Row],[ ]]="","",IF(Tabulka171013630364248546066[[#This Row],[ ]]="NEÚČAST","",IF(OR(Tabulka171013630364248546066[Výsledný čas]="N",Tabulka171013630364248546066[Výsledný čas]="D"),$X$4-$X$5,_xlfn.RANK.EQ(Tabulka171013630364248546066[[#This Row],[ ]],Tabulka171013630364248546066[[ ]],1))))</f>
        <v/>
      </c>
      <c r="P5" s="26"/>
      <c r="Q5" s="5"/>
      <c r="R5" s="5"/>
      <c r="S5" s="25" t="str">
        <f>IF(OR(Tabulka171013630364248546066[[#This Row],[LP]]="N",Tabulka171013630364248546066[[#This Row],[PP]]="N"),"N",IF(OR(Tabulka171013630364248546066[[#This Row],[LP]]="D",Tabulka171013630364248546066[[#This Row],[PP]]="D"),"D",IF(OR(Tabulka171013630364248546066[[#This Row],[LP]]="NEÚČAST",Tabulka171013630364248546066[[#This Row],[PP]]="NEÚČAST"),"NEÚČAST",IF(OR(Tabulka171013630364248546066[[#This Row],[LP]]="",Tabulka171013630364248546066[[#This Row],[PP]]=""),"",MAX(Tabulka171013630364248546066[[#This Row],[LP]:[PP]])))))</f>
        <v/>
      </c>
      <c r="T5" s="46">
        <f>COUNTIF(Tabulka171013630364248546066[[#This Row],[Tým]],"*")</f>
        <v>0</v>
      </c>
      <c r="U5" s="46">
        <f>COUNTIF(Tabulka171013630364248546066[[#This Row],[Výsledný čas]],"NEÚČAST")</f>
        <v>0</v>
      </c>
      <c r="V5" s="29" t="str">
        <f>IF(Tabulka171013630364248546066[[#This Row],[Výsledný čas]]="N",998,IF(Tabulka171013630364248546066[[#This Row],[Výsledný čas]]="D",998,IF(Tabulka171013630364248546066[[#This Row],[Výsledný čas]]="","",Tabulka171013630364248546066[[#This Row],[Výsledný čas]])))</f>
        <v/>
      </c>
      <c r="X5" s="1">
        <f>SUM(Tabulka171013630364248546066[Sloupec1])</f>
        <v>0</v>
      </c>
      <c r="Y5" s="15"/>
      <c r="Z5" s="31" t="e">
        <f>IF(OR(Tabulka38111426323844505662[Výsledný čas]="N",Tabulka38111426323844505662[Výsledný čas]="D",Tabulka38111426323844505662[Výsledný čas]="NEÚČAST"),Uvod!$E$4,_xlfn.RANK.EQ(Tabulka38111426323844505662[[#This Row],[ ]],Tabulka38111426323844505662[[ ]],1))</f>
        <v>#N/A</v>
      </c>
      <c r="AA5" s="51" t="s">
        <v>30</v>
      </c>
      <c r="AB5" s="44" t="e">
        <f>VLOOKUP(Tabulka38111426323844505662[[#This Row],[Tým]],Tabulka17101325313743495561[[Tým]:[ ]],2,FALSE)</f>
        <v>#N/A</v>
      </c>
      <c r="AC5" s="44" t="e">
        <f>VLOOKUP(Tabulka38111426323844505662[[#This Row],[Tým]],Tabulka17101325313743495561[[Tým]:[ ]],3,FALSE)</f>
        <v>#N/A</v>
      </c>
      <c r="AD5" s="25" t="e">
        <f>VLOOKUP(Tabulka38111426323844505662[[#This Row],[Tým]],Tabulka17101325313743495561[[Tým]:[ ]],4,FALSE)</f>
        <v>#N/A</v>
      </c>
      <c r="AE5" s="25" t="e">
        <f>VLOOKUP(Tabulka38111426323844505662[[#This Row],[Tým]],Tabulka17101325313743495561[[Tým]:[ ]],7,FALSE)</f>
        <v>#N/A</v>
      </c>
      <c r="AF5" s="29" t="e">
        <f>IF(Tabulka38111426323844505662[[#This Row],[Výsledný čas]]="N",5,IF(Tabulka38111426323844505662[[#This Row],[Výsledný čas]]="D",0,IF(Tabulka38111426323844505662[[#This Row],[Výsledný čas]]="NEÚČAST",0,Tabulka4[[#Totals],[Týmy muži]]+6-Tabulka38111426323844505662[[#This Row],[Umístění]])))</f>
        <v>#N/A</v>
      </c>
      <c r="AH5" s="31" t="e">
        <f>_xlfn.RANK.EQ(Tabulka59121527333945515763[[#This Row],[Body]],Tabulka59121527333945515763[Body],0)</f>
        <v>#N/A</v>
      </c>
      <c r="AI5" s="51" t="s">
        <v>30</v>
      </c>
      <c r="AJ5" s="29" t="e">
        <f>VLOOKUP(Tabulka59121527333945515763[[#This Row],[Tým]],Tabulka38111426323844505662[[Tým]:[Body]],6,FALSE)+Tabulka59121527333945515763[[#This Row],[ ]]</f>
        <v>#N/A</v>
      </c>
      <c r="AK5" s="82" t="e">
        <f>VLOOKUP(Tabulka59121527333945515763[[#This Row],[Tým]],Tabulka591215273339455157[[Tým]:[Body]],2,FALSE)</f>
        <v>#N/A</v>
      </c>
      <c r="AL5" s="47" t="e">
        <f>Tabulka59121527333945515763[[#This Row],[Umístění]]</f>
        <v>#N/A</v>
      </c>
      <c r="AM5" s="15"/>
      <c r="AP5" s="1"/>
    </row>
    <row r="6" spans="1:42" ht="24.95" customHeight="1" x14ac:dyDescent="0.4">
      <c r="B6" s="6"/>
      <c r="C6" s="1" t="str">
        <f>IF(Tabulka17101325313743495561[[#This Row],[ ]]="","",IF(Tabulka17101325313743495561[[#This Row],[ ]]="NEÚČAST","",IF(OR(Tabulka17101325313743495561[Výsledný čas]="N",Tabulka17101325313743495561[Výsledný čas]="D"),$L$4-$L$5,_xlfn.RANK.EQ(Tabulka17101325313743495561[[#This Row],[ ]],Tabulka17101325313743495561[[ ]],1))))</f>
        <v/>
      </c>
      <c r="D6" s="7"/>
      <c r="E6" s="8"/>
      <c r="F6" s="8"/>
      <c r="G6" s="9" t="str">
        <f>IF(OR(Tabulka17101325313743495561[[#This Row],[LP]]="N",Tabulka17101325313743495561[[#This Row],[PP]]="N"),"N",IF(OR(Tabulka17101325313743495561[[#This Row],[LP]]="D",Tabulka17101325313743495561[[#This Row],[PP]]="D"),"D",IF(OR(Tabulka17101325313743495561[[#This Row],[LP]]="NEÚČAST",Tabulka17101325313743495561[[#This Row],[PP]]="NEÚČAST"),"NEÚČAST",IF(OR(Tabulka17101325313743495561[[#This Row],[LP]]="",Tabulka17101325313743495561[[#This Row],[PP]]=""),"",MAX(Tabulka17101325313743495561[[#This Row],[LP]:[PP]])))))</f>
        <v/>
      </c>
      <c r="H6" s="1">
        <f>COUNTIF(Tabulka17101325313743495561[[#This Row],[Tým]],"*")</f>
        <v>0</v>
      </c>
      <c r="I6" s="1">
        <f>COUNTIF(Tabulka17101325313743495561[[#This Row],[Výsledný čas]],"NEÚČAST")</f>
        <v>0</v>
      </c>
      <c r="J6" s="1" t="str">
        <f>IF(Tabulka17101325313743495561[[#This Row],[Výsledný čas]]="N",998,IF(Tabulka17101325313743495561[[#This Row],[Výsledný čas]]="D",998,IF(Tabulka17101325313743495561[[#This Row],[Výsledný čas]]="","",Tabulka17101325313743495561[[#This Row],[Výsledný čas]])))</f>
        <v/>
      </c>
      <c r="N6" s="30"/>
      <c r="O6" s="25" t="str">
        <f>IF(Tabulka171013630364248546066[[#This Row],[ ]]="","",IF(Tabulka171013630364248546066[[#This Row],[ ]]="NEÚČAST","",IF(OR(Tabulka171013630364248546066[Výsledný čas]="N",Tabulka171013630364248546066[Výsledný čas]="D"),$X$4-$X$5,_xlfn.RANK.EQ(Tabulka171013630364248546066[[#This Row],[ ]],Tabulka171013630364248546066[[ ]],1))))</f>
        <v/>
      </c>
      <c r="P6" s="26"/>
      <c r="Q6" s="5"/>
      <c r="R6" s="5"/>
      <c r="S6" s="25" t="str">
        <f>IF(OR(Tabulka171013630364248546066[[#This Row],[LP]]="N",Tabulka171013630364248546066[[#This Row],[PP]]="N"),"N",IF(OR(Tabulka171013630364248546066[[#This Row],[LP]]="D",Tabulka171013630364248546066[[#This Row],[PP]]="D"),"D",IF(OR(Tabulka171013630364248546066[[#This Row],[LP]]="NEÚČAST",Tabulka171013630364248546066[[#This Row],[PP]]="NEÚČAST"),"NEÚČAST",IF(OR(Tabulka171013630364248546066[[#This Row],[LP]]="",Tabulka171013630364248546066[[#This Row],[PP]]=""),"",MAX(Tabulka171013630364248546066[[#This Row],[LP]:[PP]])))))</f>
        <v/>
      </c>
      <c r="T6" s="46">
        <f>COUNTIF(Tabulka171013630364248546066[[#This Row],[Tým]],"*")</f>
        <v>0</v>
      </c>
      <c r="U6" s="46">
        <f>COUNTIF(Tabulka171013630364248546066[[#This Row],[Výsledný čas]],"NEÚČAST")</f>
        <v>0</v>
      </c>
      <c r="V6" s="29" t="str">
        <f>IF(Tabulka171013630364248546066[[#This Row],[Výsledný čas]]="N",998,IF(Tabulka171013630364248546066[[#This Row],[Výsledný čas]]="D",998,IF(Tabulka171013630364248546066[[#This Row],[Výsledný čas]]="","",Tabulka171013630364248546066[[#This Row],[Výsledný čas]])))</f>
        <v/>
      </c>
      <c r="Y6" s="15"/>
      <c r="Z6" s="31" t="e">
        <f>IF(OR(Tabulka38111426323844505662[Výsledný čas]="N",Tabulka38111426323844505662[Výsledný čas]="D",Tabulka38111426323844505662[Výsledný čas]="NEÚČAST"),Uvod!$E$4,_xlfn.RANK.EQ(Tabulka38111426323844505662[[#This Row],[ ]],Tabulka38111426323844505662[[ ]],1))</f>
        <v>#N/A</v>
      </c>
      <c r="AA6" s="51" t="s">
        <v>22</v>
      </c>
      <c r="AB6" s="44" t="e">
        <f>VLOOKUP(Tabulka38111426323844505662[[#This Row],[Tým]],Tabulka17101325313743495561[[Tým]:[ ]],2,FALSE)</f>
        <v>#N/A</v>
      </c>
      <c r="AC6" s="44" t="e">
        <f>VLOOKUP(Tabulka38111426323844505662[[#This Row],[Tým]],Tabulka17101325313743495561[[Tým]:[ ]],3,FALSE)</f>
        <v>#N/A</v>
      </c>
      <c r="AD6" s="25" t="e">
        <f>VLOOKUP(Tabulka38111426323844505662[[#This Row],[Tým]],Tabulka17101325313743495561[[Tým]:[ ]],4,FALSE)</f>
        <v>#N/A</v>
      </c>
      <c r="AE6" s="25" t="e">
        <f>VLOOKUP(Tabulka38111426323844505662[[#This Row],[Tým]],Tabulka17101325313743495561[[Tým]:[ ]],7,FALSE)</f>
        <v>#N/A</v>
      </c>
      <c r="AF6" s="29" t="e">
        <f>IF(Tabulka38111426323844505662[[#This Row],[Výsledný čas]]="N",5,IF(Tabulka38111426323844505662[[#This Row],[Výsledný čas]]="D",0,IF(Tabulka38111426323844505662[[#This Row],[Výsledný čas]]="NEÚČAST",0,Tabulka4[[#Totals],[Týmy muži]]+6-Tabulka38111426323844505662[[#This Row],[Umístění]])))</f>
        <v>#N/A</v>
      </c>
      <c r="AH6" s="31" t="e">
        <f>_xlfn.RANK.EQ(Tabulka59121527333945515763[[#This Row],[Body]],Tabulka59121527333945515763[Body],0)</f>
        <v>#N/A</v>
      </c>
      <c r="AI6" s="51" t="s">
        <v>22</v>
      </c>
      <c r="AJ6" s="29" t="e">
        <f>VLOOKUP(Tabulka59121527333945515763[[#This Row],[Tým]],Tabulka38111426323844505662[[Tým]:[Body]],6,FALSE)+Tabulka59121527333945515763[[#This Row],[ ]]</f>
        <v>#N/A</v>
      </c>
      <c r="AK6" s="82" t="e">
        <f>VLOOKUP(Tabulka59121527333945515763[[#This Row],[Tým]],Tabulka591215273339455157[[Tým]:[Body]],2,FALSE)</f>
        <v>#N/A</v>
      </c>
      <c r="AL6" s="47" t="e">
        <f>Tabulka59121527333945515763[[#This Row],[Umístění]]</f>
        <v>#N/A</v>
      </c>
      <c r="AM6" s="15"/>
      <c r="AP6" s="1"/>
    </row>
    <row r="7" spans="1:42" ht="24.95" customHeight="1" x14ac:dyDescent="0.4">
      <c r="B7" s="6"/>
      <c r="C7" s="1" t="str">
        <f>IF(Tabulka17101325313743495561[[#This Row],[ ]]="","",IF(Tabulka17101325313743495561[[#This Row],[ ]]="NEÚČAST","",IF(OR(Tabulka17101325313743495561[Výsledný čas]="N",Tabulka17101325313743495561[Výsledný čas]="D"),$L$4-$L$5,_xlfn.RANK.EQ(Tabulka17101325313743495561[[#This Row],[ ]],Tabulka17101325313743495561[[ ]],1))))</f>
        <v/>
      </c>
      <c r="D7" s="10"/>
      <c r="E7" s="8"/>
      <c r="F7" s="8"/>
      <c r="G7" s="9" t="str">
        <f>IF(OR(Tabulka17101325313743495561[[#This Row],[LP]]="N",Tabulka17101325313743495561[[#This Row],[PP]]="N"),"N",IF(OR(Tabulka17101325313743495561[[#This Row],[LP]]="D",Tabulka17101325313743495561[[#This Row],[PP]]="D"),"D",IF(OR(Tabulka17101325313743495561[[#This Row],[LP]]="NEÚČAST",Tabulka17101325313743495561[[#This Row],[PP]]="NEÚČAST"),"NEÚČAST",IF(OR(Tabulka17101325313743495561[[#This Row],[LP]]="",Tabulka17101325313743495561[[#This Row],[PP]]=""),"",MAX(Tabulka17101325313743495561[[#This Row],[LP]:[PP]])))))</f>
        <v/>
      </c>
      <c r="H7" s="1">
        <f>COUNTIF(Tabulka17101325313743495561[[#This Row],[Tým]],"*")</f>
        <v>0</v>
      </c>
      <c r="I7" s="1">
        <f>COUNTIF(Tabulka17101325313743495561[[#This Row],[Výsledný čas]],"NEÚČAST")</f>
        <v>0</v>
      </c>
      <c r="J7" s="1" t="str">
        <f>IF(Tabulka17101325313743495561[[#This Row],[Výsledný čas]]="N",998,IF(Tabulka17101325313743495561[[#This Row],[Výsledný čas]]="D",998,IF(Tabulka17101325313743495561[[#This Row],[Výsledný čas]]="","",Tabulka17101325313743495561[[#This Row],[Výsledný čas]])))</f>
        <v/>
      </c>
      <c r="N7" s="31"/>
      <c r="O7" s="25" t="str">
        <f>IF(Tabulka171013630364248546066[[#This Row],[ ]]="","",IF(Tabulka171013630364248546066[[#This Row],[ ]]="NEÚČAST","",IF(OR(Tabulka171013630364248546066[Výsledný čas]="N",Tabulka171013630364248546066[Výsledný čas]="D"),$X$4-$X$5,_xlfn.RANK.EQ(Tabulka171013630364248546066[[#This Row],[ ]],Tabulka171013630364248546066[[ ]],1))))</f>
        <v/>
      </c>
      <c r="P7" s="26"/>
      <c r="Q7" s="5"/>
      <c r="R7" s="5"/>
      <c r="S7" s="25" t="str">
        <f>IF(OR(Tabulka171013630364248546066[[#This Row],[LP]]="N",Tabulka171013630364248546066[[#This Row],[PP]]="N"),"N",IF(OR(Tabulka171013630364248546066[[#This Row],[LP]]="D",Tabulka171013630364248546066[[#This Row],[PP]]="D"),"D",IF(OR(Tabulka171013630364248546066[[#This Row],[LP]]="NEÚČAST",Tabulka171013630364248546066[[#This Row],[PP]]="NEÚČAST"),"NEÚČAST",IF(OR(Tabulka171013630364248546066[[#This Row],[LP]]="",Tabulka171013630364248546066[[#This Row],[PP]]=""),"",MAX(Tabulka171013630364248546066[[#This Row],[LP]:[PP]])))))</f>
        <v/>
      </c>
      <c r="T7" s="46">
        <f>COUNTIF(Tabulka171013630364248546066[[#This Row],[Tým]],"*")</f>
        <v>0</v>
      </c>
      <c r="U7" s="46">
        <f>COUNTIF(Tabulka171013630364248546066[[#This Row],[Výsledný čas]],"NEÚČAST")</f>
        <v>0</v>
      </c>
      <c r="V7" s="29" t="str">
        <f>IF(Tabulka171013630364248546066[[#This Row],[Výsledný čas]]="N",998,IF(Tabulka171013630364248546066[[#This Row],[Výsledný čas]]="D",998,IF(Tabulka171013630364248546066[[#This Row],[Výsledný čas]]="","",Tabulka171013630364248546066[[#This Row],[Výsledný čas]])))</f>
        <v/>
      </c>
      <c r="Y7" s="15"/>
      <c r="Z7" s="31" t="e">
        <f>IF(OR(Tabulka38111426323844505662[Výsledný čas]="N",Tabulka38111426323844505662[Výsledný čas]="D",Tabulka38111426323844505662[Výsledný čas]="NEÚČAST"),Uvod!$E$4,_xlfn.RANK.EQ(Tabulka38111426323844505662[[#This Row],[ ]],Tabulka38111426323844505662[[ ]],1))</f>
        <v>#N/A</v>
      </c>
      <c r="AA7" s="51" t="s">
        <v>20</v>
      </c>
      <c r="AB7" s="44" t="e">
        <f>VLOOKUP(Tabulka38111426323844505662[[#This Row],[Tým]],Tabulka17101325313743495561[[Tým]:[ ]],2,FALSE)</f>
        <v>#N/A</v>
      </c>
      <c r="AC7" s="44" t="e">
        <f>VLOOKUP(Tabulka38111426323844505662[[#This Row],[Tým]],Tabulka17101325313743495561[[Tým]:[ ]],3,FALSE)</f>
        <v>#N/A</v>
      </c>
      <c r="AD7" s="25" t="e">
        <f>VLOOKUP(Tabulka38111426323844505662[[#This Row],[Tým]],Tabulka17101325313743495561[[Tým]:[ ]],4,FALSE)</f>
        <v>#N/A</v>
      </c>
      <c r="AE7" s="25" t="e">
        <f>VLOOKUP(Tabulka38111426323844505662[[#This Row],[Tým]],Tabulka17101325313743495561[[Tým]:[ ]],7,FALSE)</f>
        <v>#N/A</v>
      </c>
      <c r="AF7" s="29" t="e">
        <f>IF(Tabulka38111426323844505662[[#This Row],[Výsledný čas]]="N",5,IF(Tabulka38111426323844505662[[#This Row],[Výsledný čas]]="D",0,IF(Tabulka38111426323844505662[[#This Row],[Výsledný čas]]="NEÚČAST",0,Tabulka4[[#Totals],[Týmy muži]]+6-Tabulka38111426323844505662[[#This Row],[Umístění]])))</f>
        <v>#N/A</v>
      </c>
      <c r="AH7" s="31" t="e">
        <f>_xlfn.RANK.EQ(Tabulka59121527333945515763[[#This Row],[Body]],Tabulka59121527333945515763[Body],0)</f>
        <v>#N/A</v>
      </c>
      <c r="AI7" s="51" t="s">
        <v>20</v>
      </c>
      <c r="AJ7" s="29" t="e">
        <f>VLOOKUP(Tabulka59121527333945515763[[#This Row],[Tým]],Tabulka38111426323844505662[[Tým]:[Body]],6,FALSE)+Tabulka59121527333945515763[[#This Row],[ ]]</f>
        <v>#N/A</v>
      </c>
      <c r="AK7" s="82" t="e">
        <f>VLOOKUP(Tabulka59121527333945515763[[#This Row],[Tým]],Tabulka591215273339455157[[Tým]:[Body]],2,FALSE)</f>
        <v>#N/A</v>
      </c>
      <c r="AL7" s="47" t="e">
        <f>Tabulka59121527333945515763[[#This Row],[Umístění]]</f>
        <v>#N/A</v>
      </c>
      <c r="AM7" s="15"/>
      <c r="AP7" s="1"/>
    </row>
    <row r="8" spans="1:42" ht="24.95" customHeight="1" x14ac:dyDescent="0.4">
      <c r="B8" s="6"/>
      <c r="C8" s="1" t="str">
        <f>IF(Tabulka17101325313743495561[[#This Row],[ ]]="","",IF(Tabulka17101325313743495561[[#This Row],[ ]]="NEÚČAST","",IF(OR(Tabulka17101325313743495561[Výsledný čas]="N",Tabulka17101325313743495561[Výsledný čas]="D"),$L$4-$L$5,_xlfn.RANK.EQ(Tabulka17101325313743495561[[#This Row],[ ]],Tabulka17101325313743495561[[ ]],1))))</f>
        <v/>
      </c>
      <c r="D8" s="7"/>
      <c r="E8" s="8"/>
      <c r="F8" s="8"/>
      <c r="G8" s="9" t="str">
        <f>IF(OR(Tabulka17101325313743495561[[#This Row],[LP]]="N",Tabulka17101325313743495561[[#This Row],[PP]]="N"),"N",IF(OR(Tabulka17101325313743495561[[#This Row],[LP]]="D",Tabulka17101325313743495561[[#This Row],[PP]]="D"),"D",IF(OR(Tabulka17101325313743495561[[#This Row],[LP]]="NEÚČAST",Tabulka17101325313743495561[[#This Row],[PP]]="NEÚČAST"),"NEÚČAST",IF(OR(Tabulka17101325313743495561[[#This Row],[LP]]="",Tabulka17101325313743495561[[#This Row],[PP]]=""),"",MAX(Tabulka17101325313743495561[[#This Row],[LP]:[PP]])))))</f>
        <v/>
      </c>
      <c r="H8" s="1">
        <f>COUNTIF(Tabulka17101325313743495561[[#This Row],[Tým]],"*")</f>
        <v>0</v>
      </c>
      <c r="I8" s="1">
        <f>COUNTIF(Tabulka17101325313743495561[[#This Row],[Výsledný čas]],"NEÚČAST")</f>
        <v>0</v>
      </c>
      <c r="J8" s="1" t="str">
        <f>IF(Tabulka17101325313743495561[[#This Row],[Výsledný čas]]="N",998,IF(Tabulka17101325313743495561[[#This Row],[Výsledný čas]]="D",998,IF(Tabulka17101325313743495561[[#This Row],[Výsledný čas]]="","",Tabulka17101325313743495561[[#This Row],[Výsledný čas]])))</f>
        <v/>
      </c>
      <c r="N8" s="31"/>
      <c r="O8" s="25" t="str">
        <f>IF(Tabulka171013630364248546066[[#This Row],[ ]]="","",IF(Tabulka171013630364248546066[[#This Row],[ ]]="NEÚČAST","",IF(OR(Tabulka171013630364248546066[Výsledný čas]="N",Tabulka171013630364248546066[Výsledný čas]="D"),$X$4-$X$5,_xlfn.RANK.EQ(Tabulka171013630364248546066[[#This Row],[ ]],Tabulka171013630364248546066[[ ]],1))))</f>
        <v/>
      </c>
      <c r="P8" s="26"/>
      <c r="Q8" s="5"/>
      <c r="R8" s="5"/>
      <c r="S8" s="25" t="str">
        <f>IF(OR(Tabulka171013630364248546066[[#This Row],[LP]]="N",Tabulka171013630364248546066[[#This Row],[PP]]="N"),"N",IF(OR(Tabulka171013630364248546066[[#This Row],[LP]]="D",Tabulka171013630364248546066[[#This Row],[PP]]="D"),"D",IF(OR(Tabulka171013630364248546066[[#This Row],[LP]]="NEÚČAST",Tabulka171013630364248546066[[#This Row],[PP]]="NEÚČAST"),"NEÚČAST",IF(OR(Tabulka171013630364248546066[[#This Row],[LP]]="",Tabulka171013630364248546066[[#This Row],[PP]]=""),"",MAX(Tabulka171013630364248546066[[#This Row],[LP]:[PP]])))))</f>
        <v/>
      </c>
      <c r="T8" s="46">
        <f>COUNTIF(Tabulka171013630364248546066[[#This Row],[Tým]],"*")</f>
        <v>0</v>
      </c>
      <c r="U8" s="46">
        <f>COUNTIF(Tabulka171013630364248546066[[#This Row],[Výsledný čas]],"NEÚČAST")</f>
        <v>0</v>
      </c>
      <c r="V8" s="29" t="str">
        <f>IF(Tabulka171013630364248546066[[#This Row],[Výsledný čas]]="N",998,IF(Tabulka171013630364248546066[[#This Row],[Výsledný čas]]="D",998,IF(Tabulka171013630364248546066[[#This Row],[Výsledný čas]]="","",Tabulka171013630364248546066[[#This Row],[Výsledný čas]])))</f>
        <v/>
      </c>
      <c r="Y8" s="15"/>
      <c r="Z8" s="31" t="e">
        <f>IF(OR(Tabulka38111426323844505662[Výsledný čas]="N",Tabulka38111426323844505662[Výsledný čas]="D",Tabulka38111426323844505662[Výsledný čas]="NEÚČAST"),Uvod!$E$4,_xlfn.RANK.EQ(Tabulka38111426323844505662[[#This Row],[ ]],Tabulka38111426323844505662[[ ]],1))</f>
        <v>#N/A</v>
      </c>
      <c r="AA8" s="51" t="s">
        <v>11</v>
      </c>
      <c r="AB8" s="44" t="e">
        <f>VLOOKUP(Tabulka38111426323844505662[[#This Row],[Tým]],Tabulka17101325313743495561[[Tým]:[ ]],2,FALSE)</f>
        <v>#N/A</v>
      </c>
      <c r="AC8" s="44" t="e">
        <f>VLOOKUP(Tabulka38111426323844505662[[#This Row],[Tým]],Tabulka17101325313743495561[[Tým]:[ ]],3,FALSE)</f>
        <v>#N/A</v>
      </c>
      <c r="AD8" s="25" t="e">
        <f>VLOOKUP(Tabulka38111426323844505662[[#This Row],[Tým]],Tabulka17101325313743495561[[Tým]:[ ]],4,FALSE)</f>
        <v>#N/A</v>
      </c>
      <c r="AE8" s="25" t="e">
        <f>VLOOKUP(Tabulka38111426323844505662[[#This Row],[Tým]],Tabulka17101325313743495561[[Tým]:[ ]],7,FALSE)</f>
        <v>#N/A</v>
      </c>
      <c r="AF8" s="29" t="e">
        <f>IF(Tabulka38111426323844505662[[#This Row],[Výsledný čas]]="N",5,IF(Tabulka38111426323844505662[[#This Row],[Výsledný čas]]="D",0,IF(Tabulka38111426323844505662[[#This Row],[Výsledný čas]]="NEÚČAST",0,Tabulka4[[#Totals],[Týmy muži]]+6-Tabulka38111426323844505662[[#This Row],[Umístění]])))</f>
        <v>#N/A</v>
      </c>
      <c r="AH8" s="31" t="e">
        <f>_xlfn.RANK.EQ(Tabulka59121527333945515763[[#This Row],[Body]],Tabulka59121527333945515763[Body],0)</f>
        <v>#N/A</v>
      </c>
      <c r="AI8" s="51" t="s">
        <v>11</v>
      </c>
      <c r="AJ8" s="29" t="e">
        <f>VLOOKUP(Tabulka59121527333945515763[[#This Row],[Tým]],Tabulka38111426323844505662[[Tým]:[Body]],6,FALSE)+Tabulka59121527333945515763[[#This Row],[ ]]</f>
        <v>#N/A</v>
      </c>
      <c r="AK8" s="82" t="e">
        <f>VLOOKUP(Tabulka59121527333945515763[[#This Row],[Tým]],Tabulka591215273339455157[[Tým]:[Body]],2,FALSE)</f>
        <v>#N/A</v>
      </c>
      <c r="AL8" s="47" t="e">
        <f>Tabulka59121527333945515763[[#This Row],[Umístění]]</f>
        <v>#N/A</v>
      </c>
      <c r="AM8" s="15"/>
      <c r="AP8" s="1"/>
    </row>
    <row r="9" spans="1:42" ht="24.95" customHeight="1" x14ac:dyDescent="0.4">
      <c r="B9" s="11"/>
      <c r="C9" s="1" t="str">
        <f>IF(Tabulka17101325313743495561[[#This Row],[ ]]="","",IF(Tabulka17101325313743495561[[#This Row],[ ]]="NEÚČAST","",IF(OR(Tabulka17101325313743495561[Výsledný čas]="N",Tabulka17101325313743495561[Výsledný čas]="D"),$L$4-$L$5,_xlfn.RANK.EQ(Tabulka17101325313743495561[[#This Row],[ ]],Tabulka17101325313743495561[[ ]],1))))</f>
        <v/>
      </c>
      <c r="D9" s="7"/>
      <c r="E9" s="8"/>
      <c r="F9" s="8"/>
      <c r="G9" s="9" t="str">
        <f>IF(OR(Tabulka17101325313743495561[[#This Row],[LP]]="N",Tabulka17101325313743495561[[#This Row],[PP]]="N"),"N",IF(OR(Tabulka17101325313743495561[[#This Row],[LP]]="D",Tabulka17101325313743495561[[#This Row],[PP]]="D"),"D",IF(OR(Tabulka17101325313743495561[[#This Row],[LP]]="NEÚČAST",Tabulka17101325313743495561[[#This Row],[PP]]="NEÚČAST"),"NEÚČAST",IF(OR(Tabulka17101325313743495561[[#This Row],[LP]]="",Tabulka17101325313743495561[[#This Row],[PP]]=""),"",MAX(Tabulka17101325313743495561[[#This Row],[LP]:[PP]])))))</f>
        <v/>
      </c>
      <c r="H9" s="1">
        <f>COUNTIF(Tabulka17101325313743495561[[#This Row],[Tým]],"*")</f>
        <v>0</v>
      </c>
      <c r="I9" s="1">
        <f>COUNTIF(Tabulka17101325313743495561[[#This Row],[Výsledný čas]],"NEÚČAST")</f>
        <v>0</v>
      </c>
      <c r="J9" s="1" t="str">
        <f>IF(Tabulka17101325313743495561[[#This Row],[Výsledný čas]]="N",998,IF(Tabulka17101325313743495561[[#This Row],[Výsledný čas]]="D",998,IF(Tabulka17101325313743495561[[#This Row],[Výsledný čas]]="","",Tabulka17101325313743495561[[#This Row],[Výsledný čas]])))</f>
        <v/>
      </c>
      <c r="N9" s="30"/>
      <c r="O9" s="25" t="str">
        <f>IF(Tabulka171013630364248546066[[#This Row],[ ]]="","",IF(Tabulka171013630364248546066[[#This Row],[ ]]="NEÚČAST","",IF(OR(Tabulka171013630364248546066[Výsledný čas]="N",Tabulka171013630364248546066[Výsledný čas]="D"),$X$4-$X$5,_xlfn.RANK.EQ(Tabulka171013630364248546066[[#This Row],[ ]],Tabulka171013630364248546066[[ ]],1))))</f>
        <v/>
      </c>
      <c r="P9" s="26"/>
      <c r="Q9" s="5"/>
      <c r="R9" s="5"/>
      <c r="S9" s="25" t="str">
        <f>IF(OR(Tabulka171013630364248546066[[#This Row],[LP]]="N",Tabulka171013630364248546066[[#This Row],[PP]]="N"),"N",IF(OR(Tabulka171013630364248546066[[#This Row],[LP]]="D",Tabulka171013630364248546066[[#This Row],[PP]]="D"),"D",IF(OR(Tabulka171013630364248546066[[#This Row],[LP]]="NEÚČAST",Tabulka171013630364248546066[[#This Row],[PP]]="NEÚČAST"),"NEÚČAST",IF(OR(Tabulka171013630364248546066[[#This Row],[LP]]="",Tabulka171013630364248546066[[#This Row],[PP]]=""),"",MAX(Tabulka171013630364248546066[[#This Row],[LP]:[PP]])))))</f>
        <v/>
      </c>
      <c r="T9" s="46">
        <f>COUNTIF(Tabulka171013630364248546066[[#This Row],[Tým]],"*")</f>
        <v>0</v>
      </c>
      <c r="U9" s="46">
        <f>COUNTIF(Tabulka171013630364248546066[[#This Row],[Výsledný čas]],"NEÚČAST")</f>
        <v>0</v>
      </c>
      <c r="V9" s="29" t="str">
        <f>IF(Tabulka171013630364248546066[[#This Row],[Výsledný čas]]="N",998,IF(Tabulka171013630364248546066[[#This Row],[Výsledný čas]]="D",998,IF(Tabulka171013630364248546066[[#This Row],[Výsledný čas]]="","",Tabulka171013630364248546066[[#This Row],[Výsledný čas]])))</f>
        <v/>
      </c>
      <c r="Y9" s="15"/>
      <c r="Z9" s="31" t="e">
        <f>IF(OR(Tabulka38111426323844505662[Výsledný čas]="N",Tabulka38111426323844505662[Výsledný čas]="D",Tabulka38111426323844505662[Výsledný čas]="NEÚČAST"),Uvod!$E$4,_xlfn.RANK.EQ(Tabulka38111426323844505662[[#This Row],[ ]],Tabulka38111426323844505662[[ ]],1))</f>
        <v>#N/A</v>
      </c>
      <c r="AA9" s="51" t="s">
        <v>15</v>
      </c>
      <c r="AB9" s="44" t="e">
        <f>VLOOKUP(Tabulka38111426323844505662[[#This Row],[Tým]],Tabulka17101325313743495561[[Tým]:[ ]],2,FALSE)</f>
        <v>#N/A</v>
      </c>
      <c r="AC9" s="44" t="e">
        <f>VLOOKUP(Tabulka38111426323844505662[[#This Row],[Tým]],Tabulka17101325313743495561[[Tým]:[ ]],3,FALSE)</f>
        <v>#N/A</v>
      </c>
      <c r="AD9" s="25" t="e">
        <f>VLOOKUP(Tabulka38111426323844505662[[#This Row],[Tým]],Tabulka17101325313743495561[[Tým]:[ ]],4,FALSE)</f>
        <v>#N/A</v>
      </c>
      <c r="AE9" s="25" t="e">
        <f>VLOOKUP(Tabulka38111426323844505662[[#This Row],[Tým]],Tabulka17101325313743495561[[Tým]:[ ]],7,FALSE)</f>
        <v>#N/A</v>
      </c>
      <c r="AF9" s="29" t="e">
        <f>IF(Tabulka38111426323844505662[[#This Row],[Výsledný čas]]="N",5,IF(Tabulka38111426323844505662[[#This Row],[Výsledný čas]]="D",0,IF(Tabulka38111426323844505662[[#This Row],[Výsledný čas]]="NEÚČAST",0,Tabulka4[[#Totals],[Týmy muži]]+6-Tabulka38111426323844505662[[#This Row],[Umístění]])))</f>
        <v>#N/A</v>
      </c>
      <c r="AH9" s="31" t="e">
        <f>_xlfn.RANK.EQ(Tabulka59121527333945515763[[#This Row],[Body]],Tabulka59121527333945515763[Body],0)</f>
        <v>#N/A</v>
      </c>
      <c r="AI9" s="51" t="s">
        <v>15</v>
      </c>
      <c r="AJ9" s="29" t="e">
        <f>VLOOKUP(Tabulka59121527333945515763[[#This Row],[Tým]],Tabulka38111426323844505662[[Tým]:[Body]],6,FALSE)+Tabulka59121527333945515763[[#This Row],[ ]]</f>
        <v>#N/A</v>
      </c>
      <c r="AK9" s="82" t="e">
        <f>VLOOKUP(Tabulka59121527333945515763[[#This Row],[Tým]],Tabulka591215273339455157[[Tým]:[Body]],2,FALSE)</f>
        <v>#N/A</v>
      </c>
      <c r="AL9" s="47" t="e">
        <f>Tabulka59121527333945515763[[#This Row],[Umístění]]</f>
        <v>#N/A</v>
      </c>
      <c r="AM9" s="15"/>
      <c r="AP9" s="1"/>
    </row>
    <row r="10" spans="1:42" ht="24.95" customHeight="1" x14ac:dyDescent="0.4">
      <c r="B10" s="6"/>
      <c r="C10" s="1" t="str">
        <f>IF(Tabulka17101325313743495561[[#This Row],[ ]]="","",IF(Tabulka17101325313743495561[[#This Row],[ ]]="NEÚČAST","",IF(OR(Tabulka17101325313743495561[Výsledný čas]="N",Tabulka17101325313743495561[Výsledný čas]="D"),$L$4-$L$5,_xlfn.RANK.EQ(Tabulka17101325313743495561[[#This Row],[ ]],Tabulka17101325313743495561[[ ]],1))))</f>
        <v/>
      </c>
      <c r="D10" s="7"/>
      <c r="E10" s="8"/>
      <c r="F10" s="8"/>
      <c r="G10" s="9" t="str">
        <f>IF(OR(Tabulka17101325313743495561[[#This Row],[LP]]="N",Tabulka17101325313743495561[[#This Row],[PP]]="N"),"N",IF(OR(Tabulka17101325313743495561[[#This Row],[LP]]="D",Tabulka17101325313743495561[[#This Row],[PP]]="D"),"D",IF(OR(Tabulka17101325313743495561[[#This Row],[LP]]="NEÚČAST",Tabulka17101325313743495561[[#This Row],[PP]]="NEÚČAST"),"NEÚČAST",IF(OR(Tabulka17101325313743495561[[#This Row],[LP]]="",Tabulka17101325313743495561[[#This Row],[PP]]=""),"",MAX(Tabulka17101325313743495561[[#This Row],[LP]:[PP]])))))</f>
        <v/>
      </c>
      <c r="H10" s="1">
        <f>COUNTIF(Tabulka17101325313743495561[[#This Row],[Tým]],"*")</f>
        <v>0</v>
      </c>
      <c r="I10" s="1">
        <f>COUNTIF(Tabulka17101325313743495561[[#This Row],[Výsledný čas]],"NEÚČAST")</f>
        <v>0</v>
      </c>
      <c r="J10" s="1" t="str">
        <f>IF(Tabulka17101325313743495561[[#This Row],[Výsledný čas]]="N",998,IF(Tabulka17101325313743495561[[#This Row],[Výsledný čas]]="D",998,IF(Tabulka17101325313743495561[[#This Row],[Výsledný čas]]="","",Tabulka17101325313743495561[[#This Row],[Výsledný čas]])))</f>
        <v/>
      </c>
      <c r="N10" s="30"/>
      <c r="O10" s="25" t="str">
        <f>IF(Tabulka171013630364248546066[[#This Row],[ ]]="","",IF(Tabulka171013630364248546066[[#This Row],[ ]]="NEÚČAST","",IF(OR(Tabulka171013630364248546066[Výsledný čas]="N",Tabulka171013630364248546066[Výsledný čas]="D"),$X$4-$X$5,_xlfn.RANK.EQ(Tabulka171013630364248546066[[#This Row],[ ]],Tabulka171013630364248546066[[ ]],1))))</f>
        <v/>
      </c>
      <c r="P10" s="26"/>
      <c r="Q10" s="5"/>
      <c r="R10" s="5"/>
      <c r="S10" s="25" t="str">
        <f>IF(OR(Tabulka171013630364248546066[[#This Row],[LP]]="N",Tabulka171013630364248546066[[#This Row],[PP]]="N"),"N",IF(OR(Tabulka171013630364248546066[[#This Row],[LP]]="D",Tabulka171013630364248546066[[#This Row],[PP]]="D"),"D",IF(OR(Tabulka171013630364248546066[[#This Row],[LP]]="NEÚČAST",Tabulka171013630364248546066[[#This Row],[PP]]="NEÚČAST"),"NEÚČAST",IF(OR(Tabulka171013630364248546066[[#This Row],[LP]]="",Tabulka171013630364248546066[[#This Row],[PP]]=""),"",MAX(Tabulka171013630364248546066[[#This Row],[LP]:[PP]])))))</f>
        <v/>
      </c>
      <c r="T10" s="46">
        <f>COUNTIF(Tabulka171013630364248546066[[#This Row],[Tým]],"*")</f>
        <v>0</v>
      </c>
      <c r="U10" s="46">
        <f>COUNTIF(Tabulka171013630364248546066[[#This Row],[Výsledný čas]],"NEÚČAST")</f>
        <v>0</v>
      </c>
      <c r="V10" s="29" t="str">
        <f>IF(Tabulka171013630364248546066[[#This Row],[Výsledný čas]]="N",998,IF(Tabulka171013630364248546066[[#This Row],[Výsledný čas]]="D",998,IF(Tabulka171013630364248546066[[#This Row],[Výsledný čas]]="","",Tabulka171013630364248546066[[#This Row],[Výsledný čas]])))</f>
        <v/>
      </c>
      <c r="Y10" s="15"/>
      <c r="Z10" s="31" t="e">
        <f>IF(OR(Tabulka38111426323844505662[Výsledný čas]="N",Tabulka38111426323844505662[Výsledný čas]="D",Tabulka38111426323844505662[Výsledný čas]="NEÚČAST"),Uvod!$E$4,_xlfn.RANK.EQ(Tabulka38111426323844505662[[#This Row],[ ]],Tabulka38111426323844505662[[ ]],1))</f>
        <v>#N/A</v>
      </c>
      <c r="AA10" s="51" t="s">
        <v>10</v>
      </c>
      <c r="AB10" s="44" t="e">
        <f>VLOOKUP(Tabulka38111426323844505662[[#This Row],[Tým]],Tabulka17101325313743495561[[Tým]:[ ]],2,FALSE)</f>
        <v>#N/A</v>
      </c>
      <c r="AC10" s="44" t="e">
        <f>VLOOKUP(Tabulka38111426323844505662[[#This Row],[Tým]],Tabulka17101325313743495561[[Tým]:[ ]],3,FALSE)</f>
        <v>#N/A</v>
      </c>
      <c r="AD10" s="25" t="e">
        <f>VLOOKUP(Tabulka38111426323844505662[[#This Row],[Tým]],Tabulka17101325313743495561[[Tým]:[ ]],4,FALSE)</f>
        <v>#N/A</v>
      </c>
      <c r="AE10" s="25" t="e">
        <f>VLOOKUP(Tabulka38111426323844505662[[#This Row],[Tým]],Tabulka17101325313743495561[[Tým]:[ ]],7,FALSE)</f>
        <v>#N/A</v>
      </c>
      <c r="AF10" s="29" t="e">
        <f>IF(Tabulka38111426323844505662[[#This Row],[Výsledný čas]]="N",5,IF(Tabulka38111426323844505662[[#This Row],[Výsledný čas]]="D",0,IF(Tabulka38111426323844505662[[#This Row],[Výsledný čas]]="NEÚČAST",0,Tabulka4[[#Totals],[Týmy muži]]+6-Tabulka38111426323844505662[[#This Row],[Umístění]])))</f>
        <v>#N/A</v>
      </c>
      <c r="AH10" s="31" t="e">
        <f>_xlfn.RANK.EQ(Tabulka59121527333945515763[[#This Row],[Body]],Tabulka59121527333945515763[Body],0)</f>
        <v>#N/A</v>
      </c>
      <c r="AI10" s="51" t="s">
        <v>10</v>
      </c>
      <c r="AJ10" s="29" t="e">
        <f>VLOOKUP(Tabulka59121527333945515763[[#This Row],[Tým]],Tabulka38111426323844505662[[Tým]:[Body]],6,FALSE)+Tabulka59121527333945515763[[#This Row],[ ]]</f>
        <v>#N/A</v>
      </c>
      <c r="AK10" s="82" t="e">
        <f>VLOOKUP(Tabulka59121527333945515763[[#This Row],[Tým]],Tabulka591215273339455157[[Tým]:[Body]],2,FALSE)</f>
        <v>#N/A</v>
      </c>
      <c r="AL10" s="47" t="e">
        <f>Tabulka59121527333945515763[[#This Row],[Umístění]]</f>
        <v>#N/A</v>
      </c>
      <c r="AM10" s="15"/>
      <c r="AP10" s="1"/>
    </row>
    <row r="11" spans="1:42" ht="24.95" customHeight="1" x14ac:dyDescent="0.4">
      <c r="B11" s="6"/>
      <c r="C11" s="1" t="str">
        <f>IF(Tabulka17101325313743495561[[#This Row],[ ]]="","",IF(Tabulka17101325313743495561[[#This Row],[ ]]="NEÚČAST","",IF(OR(Tabulka17101325313743495561[Výsledný čas]="N",Tabulka17101325313743495561[Výsledný čas]="D"),$L$4-$L$5,_xlfn.RANK.EQ(Tabulka17101325313743495561[[#This Row],[ ]],Tabulka17101325313743495561[[ ]],1))))</f>
        <v/>
      </c>
      <c r="D11" s="7"/>
      <c r="E11" s="8"/>
      <c r="F11" s="8"/>
      <c r="G11" s="9" t="str">
        <f>IF(OR(Tabulka17101325313743495561[[#This Row],[LP]]="N",Tabulka17101325313743495561[[#This Row],[PP]]="N"),"N",IF(OR(Tabulka17101325313743495561[[#This Row],[LP]]="D",Tabulka17101325313743495561[[#This Row],[PP]]="D"),"D",IF(OR(Tabulka17101325313743495561[[#This Row],[LP]]="NEÚČAST",Tabulka17101325313743495561[[#This Row],[PP]]="NEÚČAST"),"NEÚČAST",IF(OR(Tabulka17101325313743495561[[#This Row],[LP]]="",Tabulka17101325313743495561[[#This Row],[PP]]=""),"",MAX(Tabulka17101325313743495561[[#This Row],[LP]:[PP]])))))</f>
        <v/>
      </c>
      <c r="H11" s="1">
        <f>COUNTIF(Tabulka17101325313743495561[[#This Row],[Tým]],"*")</f>
        <v>0</v>
      </c>
      <c r="I11" s="1">
        <f>COUNTIF(Tabulka17101325313743495561[[#This Row],[Výsledný čas]],"NEÚČAST")</f>
        <v>0</v>
      </c>
      <c r="J11" s="1" t="str">
        <f>IF(Tabulka17101325313743495561[[#This Row],[Výsledný čas]]="N",998,IF(Tabulka17101325313743495561[[#This Row],[Výsledný čas]]="D",998,IF(Tabulka17101325313743495561[[#This Row],[Výsledný čas]]="","",Tabulka17101325313743495561[[#This Row],[Výsledný čas]])))</f>
        <v/>
      </c>
      <c r="N11" s="30"/>
      <c r="O11" s="25" t="str">
        <f>IF(Tabulka171013630364248546066[[#This Row],[ ]]="","",IF(Tabulka171013630364248546066[[#This Row],[ ]]="NEÚČAST","",IF(OR(Tabulka171013630364248546066[Výsledný čas]="N",Tabulka171013630364248546066[Výsledný čas]="D"),$X$4-$X$5,_xlfn.RANK.EQ(Tabulka171013630364248546066[[#This Row],[ ]],Tabulka171013630364248546066[[ ]],1))))</f>
        <v/>
      </c>
      <c r="P11" s="26"/>
      <c r="Q11" s="5"/>
      <c r="R11" s="5"/>
      <c r="S11" s="25" t="str">
        <f>IF(OR(Tabulka171013630364248546066[[#This Row],[LP]]="N",Tabulka171013630364248546066[[#This Row],[PP]]="N"),"N",IF(OR(Tabulka171013630364248546066[[#This Row],[LP]]="D",Tabulka171013630364248546066[[#This Row],[PP]]="D"),"D",IF(OR(Tabulka171013630364248546066[[#This Row],[LP]]="NEÚČAST",Tabulka171013630364248546066[[#This Row],[PP]]="NEÚČAST"),"NEÚČAST",IF(OR(Tabulka171013630364248546066[[#This Row],[LP]]="",Tabulka171013630364248546066[[#This Row],[PP]]=""),"",MAX(Tabulka171013630364248546066[[#This Row],[LP]:[PP]])))))</f>
        <v/>
      </c>
      <c r="T11" s="46">
        <f>COUNTIF(Tabulka171013630364248546066[[#This Row],[Tým]],"*")</f>
        <v>0</v>
      </c>
      <c r="U11" s="46">
        <f>COUNTIF(Tabulka171013630364248546066[[#This Row],[Výsledný čas]],"NEÚČAST")</f>
        <v>0</v>
      </c>
      <c r="V11" s="29" t="str">
        <f>IF(Tabulka171013630364248546066[[#This Row],[Výsledný čas]]="N",998,IF(Tabulka171013630364248546066[[#This Row],[Výsledný čas]]="D",998,IF(Tabulka171013630364248546066[[#This Row],[Výsledný čas]]="","",Tabulka171013630364248546066[[#This Row],[Výsledný čas]])))</f>
        <v/>
      </c>
      <c r="Y11" s="15"/>
      <c r="Z11" s="31" t="e">
        <f>IF(OR(Tabulka38111426323844505662[Výsledný čas]="N",Tabulka38111426323844505662[Výsledný čas]="D",Tabulka38111426323844505662[Výsledný čas]="NEÚČAST"),Uvod!$E$4,_xlfn.RANK.EQ(Tabulka38111426323844505662[[#This Row],[ ]],Tabulka38111426323844505662[[ ]],1))</f>
        <v>#N/A</v>
      </c>
      <c r="AA11" s="51" t="s">
        <v>18</v>
      </c>
      <c r="AB11" s="44" t="e">
        <f>VLOOKUP(Tabulka38111426323844505662[[#This Row],[Tým]],Tabulka17101325313743495561[[Tým]:[ ]],2,FALSE)</f>
        <v>#N/A</v>
      </c>
      <c r="AC11" s="44" t="e">
        <f>VLOOKUP(Tabulka38111426323844505662[[#This Row],[Tým]],Tabulka17101325313743495561[[Tým]:[ ]],3,FALSE)</f>
        <v>#N/A</v>
      </c>
      <c r="AD11" s="25" t="e">
        <f>VLOOKUP(Tabulka38111426323844505662[[#This Row],[Tým]],Tabulka17101325313743495561[[Tým]:[ ]],4,FALSE)</f>
        <v>#N/A</v>
      </c>
      <c r="AE11" s="25" t="e">
        <f>VLOOKUP(Tabulka38111426323844505662[[#This Row],[Tým]],Tabulka17101325313743495561[[Tým]:[ ]],7,FALSE)</f>
        <v>#N/A</v>
      </c>
      <c r="AF11" s="29" t="e">
        <f>IF(Tabulka38111426323844505662[[#This Row],[Výsledný čas]]="N",5,IF(Tabulka38111426323844505662[[#This Row],[Výsledný čas]]="D",0,IF(Tabulka38111426323844505662[[#This Row],[Výsledný čas]]="NEÚČAST",0,Tabulka4[[#Totals],[Týmy muži]]+6-Tabulka38111426323844505662[[#This Row],[Umístění]])))</f>
        <v>#N/A</v>
      </c>
      <c r="AH11" s="31" t="e">
        <f>_xlfn.RANK.EQ(Tabulka59121527333945515763[[#This Row],[Body]],Tabulka59121527333945515763[Body],0)</f>
        <v>#N/A</v>
      </c>
      <c r="AI11" s="51" t="s">
        <v>18</v>
      </c>
      <c r="AJ11" s="29" t="e">
        <f>VLOOKUP(Tabulka59121527333945515763[[#This Row],[Tým]],Tabulka38111426323844505662[[Tým]:[Body]],6,FALSE)+Tabulka59121527333945515763[[#This Row],[ ]]</f>
        <v>#N/A</v>
      </c>
      <c r="AK11" s="82" t="e">
        <f>VLOOKUP(Tabulka59121527333945515763[[#This Row],[Tým]],Tabulka591215273339455157[[Tým]:[Body]],2,FALSE)</f>
        <v>#N/A</v>
      </c>
      <c r="AL11" s="47" t="e">
        <f>Tabulka59121527333945515763[[#This Row],[Umístění]]</f>
        <v>#N/A</v>
      </c>
      <c r="AM11" s="15"/>
      <c r="AP11" s="1"/>
    </row>
    <row r="12" spans="1:42" ht="24.95" customHeight="1" x14ac:dyDescent="0.4">
      <c r="B12" s="6"/>
      <c r="C12" s="1" t="str">
        <f>IF(Tabulka17101325313743495561[[#This Row],[ ]]="","",IF(Tabulka17101325313743495561[[#This Row],[ ]]="NEÚČAST","",IF(OR(Tabulka17101325313743495561[Výsledný čas]="N",Tabulka17101325313743495561[Výsledný čas]="D"),$L$4-$L$5,_xlfn.RANK.EQ(Tabulka17101325313743495561[[#This Row],[ ]],Tabulka17101325313743495561[[ ]],1))))</f>
        <v/>
      </c>
      <c r="D12" s="7"/>
      <c r="E12" s="8"/>
      <c r="F12" s="8"/>
      <c r="G12" s="9" t="str">
        <f>IF(OR(Tabulka17101325313743495561[[#This Row],[LP]]="N",Tabulka17101325313743495561[[#This Row],[PP]]="N"),"N",IF(OR(Tabulka17101325313743495561[[#This Row],[LP]]="D",Tabulka17101325313743495561[[#This Row],[PP]]="D"),"D",IF(OR(Tabulka17101325313743495561[[#This Row],[LP]]="NEÚČAST",Tabulka17101325313743495561[[#This Row],[PP]]="NEÚČAST"),"NEÚČAST",IF(OR(Tabulka17101325313743495561[[#This Row],[LP]]="",Tabulka17101325313743495561[[#This Row],[PP]]=""),"",MAX(Tabulka17101325313743495561[[#This Row],[LP]:[PP]])))))</f>
        <v/>
      </c>
      <c r="H12" s="1">
        <f>COUNTIF(Tabulka17101325313743495561[[#This Row],[Tým]],"*")</f>
        <v>0</v>
      </c>
      <c r="I12" s="1">
        <f>COUNTIF(Tabulka17101325313743495561[[#This Row],[Výsledný čas]],"NEÚČAST")</f>
        <v>0</v>
      </c>
      <c r="J12" s="1" t="str">
        <f>IF(Tabulka17101325313743495561[[#This Row],[Výsledný čas]]="N",998,IF(Tabulka17101325313743495561[[#This Row],[Výsledný čas]]="D",998,IF(Tabulka17101325313743495561[[#This Row],[Výsledný čas]]="","",Tabulka17101325313743495561[[#This Row],[Výsledný čas]])))</f>
        <v/>
      </c>
      <c r="N12" s="58"/>
      <c r="O12" s="59" t="str">
        <f>IF(Tabulka171013630364248546066[[#This Row],[ ]]="","",IF(Tabulka171013630364248546066[[#This Row],[ ]]="NEÚČAST","",IF(OR(Tabulka171013630364248546066[Výsledný čas]="N",Tabulka171013630364248546066[Výsledný čas]="D"),$X$4-$X$5,_xlfn.RANK.EQ(Tabulka171013630364248546066[[#This Row],[ ]],Tabulka171013630364248546066[[ ]],1))))</f>
        <v/>
      </c>
      <c r="P12" s="89"/>
      <c r="Q12" s="90"/>
      <c r="R12" s="90"/>
      <c r="S12" s="59" t="str">
        <f>IF(OR(Tabulka171013630364248546066[[#This Row],[LP]]="N",Tabulka171013630364248546066[[#This Row],[PP]]="N"),"N",IF(OR(Tabulka171013630364248546066[[#This Row],[LP]]="D",Tabulka171013630364248546066[[#This Row],[PP]]="D"),"D",IF(OR(Tabulka171013630364248546066[[#This Row],[LP]]="NEÚČAST",Tabulka171013630364248546066[[#This Row],[PP]]="NEÚČAST"),"NEÚČAST",IF(OR(Tabulka171013630364248546066[[#This Row],[LP]]="",Tabulka171013630364248546066[[#This Row],[PP]]=""),"",MAX(Tabulka171013630364248546066[[#This Row],[LP]:[PP]])))))</f>
        <v/>
      </c>
      <c r="T12" s="158">
        <f>COUNTIF(Tabulka171013630364248546066[[#This Row],[Tým]],"*")</f>
        <v>0</v>
      </c>
      <c r="U12" s="158">
        <f>COUNTIF(Tabulka171013630364248546066[[#This Row],[Výsledný čas]],"NEÚČAST")</f>
        <v>0</v>
      </c>
      <c r="V12" s="60" t="str">
        <f>IF(Tabulka171013630364248546066[[#This Row],[Výsledný čas]]="N",998,IF(Tabulka171013630364248546066[[#This Row],[Výsledný čas]]="D",998,IF(Tabulka171013630364248546066[[#This Row],[Výsledný čas]]="","",Tabulka171013630364248546066[[#This Row],[Výsledný čas]])))</f>
        <v/>
      </c>
      <c r="Y12" s="15"/>
      <c r="Z12" s="31" t="e">
        <f>IF(OR(Tabulka38111426323844505662[Výsledný čas]="N",Tabulka38111426323844505662[Výsledný čas]="D",Tabulka38111426323844505662[Výsledný čas]="NEÚČAST"),Uvod!$E$4,_xlfn.RANK.EQ(Tabulka38111426323844505662[[#This Row],[ ]],Tabulka38111426323844505662[[ ]],1))</f>
        <v>#N/A</v>
      </c>
      <c r="AA12" s="51" t="s">
        <v>23</v>
      </c>
      <c r="AB12" s="44" t="e">
        <f>VLOOKUP(Tabulka38111426323844505662[[#This Row],[Tým]],Tabulka17101325313743495561[[Tým]:[ ]],2,FALSE)</f>
        <v>#N/A</v>
      </c>
      <c r="AC12" s="44" t="e">
        <f>VLOOKUP(Tabulka38111426323844505662[[#This Row],[Tým]],Tabulka17101325313743495561[[Tým]:[ ]],3,FALSE)</f>
        <v>#N/A</v>
      </c>
      <c r="AD12" s="25" t="e">
        <f>VLOOKUP(Tabulka38111426323844505662[[#This Row],[Tým]],Tabulka17101325313743495561[[Tým]:[ ]],4,FALSE)</f>
        <v>#N/A</v>
      </c>
      <c r="AE12" s="25" t="e">
        <f>VLOOKUP(Tabulka38111426323844505662[[#This Row],[Tým]],Tabulka17101325313743495561[[Tým]:[ ]],7,FALSE)</f>
        <v>#N/A</v>
      </c>
      <c r="AF12" s="29" t="e">
        <f>IF(Tabulka38111426323844505662[[#This Row],[Výsledný čas]]="N",5,IF(Tabulka38111426323844505662[[#This Row],[Výsledný čas]]="D",0,IF(Tabulka38111426323844505662[[#This Row],[Výsledný čas]]="NEÚČAST",0,Tabulka4[[#Totals],[Týmy muži]]+6-Tabulka38111426323844505662[[#This Row],[Umístění]])))</f>
        <v>#N/A</v>
      </c>
      <c r="AH12" s="31" t="e">
        <f>_xlfn.RANK.EQ(Tabulka59121527333945515763[[#This Row],[Body]],Tabulka59121527333945515763[Body],0)</f>
        <v>#N/A</v>
      </c>
      <c r="AI12" s="51" t="s">
        <v>23</v>
      </c>
      <c r="AJ12" s="29" t="e">
        <f>VLOOKUP(Tabulka59121527333945515763[[#This Row],[Tým]],Tabulka38111426323844505662[[Tým]:[Body]],6,FALSE)+Tabulka59121527333945515763[[#This Row],[ ]]</f>
        <v>#N/A</v>
      </c>
      <c r="AK12" s="82" t="e">
        <f>VLOOKUP(Tabulka59121527333945515763[[#This Row],[Tým]],Tabulka591215273339455157[[Tým]:[Body]],2,FALSE)</f>
        <v>#N/A</v>
      </c>
      <c r="AL12" s="47" t="e">
        <f>Tabulka59121527333945515763[[#This Row],[Umístění]]</f>
        <v>#N/A</v>
      </c>
      <c r="AM12" s="15"/>
      <c r="AP12" s="1"/>
    </row>
    <row r="13" spans="1:42" ht="24.95" customHeight="1" x14ac:dyDescent="0.4">
      <c r="B13" s="6"/>
      <c r="C13" s="1" t="str">
        <f>IF(Tabulka17101325313743495561[[#This Row],[ ]]="","",IF(Tabulka17101325313743495561[[#This Row],[ ]]="NEÚČAST","",IF(OR(Tabulka17101325313743495561[Výsledný čas]="N",Tabulka17101325313743495561[Výsledný čas]="D"),$L$4-$L$5,_xlfn.RANK.EQ(Tabulka17101325313743495561[[#This Row],[ ]],Tabulka17101325313743495561[[ ]],1))))</f>
        <v/>
      </c>
      <c r="D13" s="7"/>
      <c r="E13" s="8"/>
      <c r="F13" s="8"/>
      <c r="G13" s="9" t="str">
        <f>IF(OR(Tabulka17101325313743495561[[#This Row],[LP]]="N",Tabulka17101325313743495561[[#This Row],[PP]]="N"),"N",IF(OR(Tabulka17101325313743495561[[#This Row],[LP]]="D",Tabulka17101325313743495561[[#This Row],[PP]]="D"),"D",IF(OR(Tabulka17101325313743495561[[#This Row],[LP]]="NEÚČAST",Tabulka17101325313743495561[[#This Row],[PP]]="NEÚČAST"),"NEÚČAST",IF(OR(Tabulka17101325313743495561[[#This Row],[LP]]="",Tabulka17101325313743495561[[#This Row],[PP]]=""),"",MAX(Tabulka17101325313743495561[[#This Row],[LP]:[PP]])))))</f>
        <v/>
      </c>
      <c r="H13" s="1">
        <f>COUNTIF(Tabulka17101325313743495561[[#This Row],[Tým]],"*")</f>
        <v>0</v>
      </c>
      <c r="I13" s="1">
        <f>COUNTIF(Tabulka17101325313743495561[[#This Row],[Výsledný čas]],"NEÚČAST")</f>
        <v>0</v>
      </c>
      <c r="J13" s="1" t="str">
        <f>IF(Tabulka17101325313743495561[[#This Row],[Výsledný čas]]="N",998,IF(Tabulka17101325313743495561[[#This Row],[Výsledný čas]]="D",998,IF(Tabulka17101325313743495561[[#This Row],[Výsledný čas]]="","",Tabulka17101325313743495561[[#This Row],[Výsledný čas]])))</f>
        <v/>
      </c>
      <c r="P13" s="7"/>
      <c r="Q13" s="8"/>
      <c r="R13" s="8"/>
      <c r="Z13" s="31" t="e">
        <f>IF(OR(Tabulka38111426323844505662[Výsledný čas]="N",Tabulka38111426323844505662[Výsledný čas]="D",Tabulka38111426323844505662[Výsledný čas]="NEÚČAST"),Uvod!$E$4,_xlfn.RANK.EQ(Tabulka38111426323844505662[[#This Row],[ ]],Tabulka38111426323844505662[[ ]],1))</f>
        <v>#N/A</v>
      </c>
      <c r="AA13" s="51" t="s">
        <v>6</v>
      </c>
      <c r="AB13" s="44" t="e">
        <f>VLOOKUP(Tabulka38111426323844505662[[#This Row],[Tým]],Tabulka17101325313743495561[[Tým]:[ ]],2,FALSE)</f>
        <v>#N/A</v>
      </c>
      <c r="AC13" s="44" t="e">
        <f>VLOOKUP(Tabulka38111426323844505662[[#This Row],[Tým]],Tabulka17101325313743495561[[Tým]:[ ]],3,FALSE)</f>
        <v>#N/A</v>
      </c>
      <c r="AD13" s="25" t="e">
        <f>VLOOKUP(Tabulka38111426323844505662[[#This Row],[Tým]],Tabulka17101325313743495561[[Tým]:[ ]],4,FALSE)</f>
        <v>#N/A</v>
      </c>
      <c r="AE13" s="25" t="e">
        <f>VLOOKUP(Tabulka38111426323844505662[[#This Row],[Tým]],Tabulka17101325313743495561[[Tým]:[ ]],7,FALSE)</f>
        <v>#N/A</v>
      </c>
      <c r="AF13" s="29" t="e">
        <f>IF(Tabulka38111426323844505662[[#This Row],[Výsledný čas]]="N",5,IF(Tabulka38111426323844505662[[#This Row],[Výsledný čas]]="D",0,IF(Tabulka38111426323844505662[[#This Row],[Výsledný čas]]="NEÚČAST",0,Tabulka4[[#Totals],[Týmy muži]]+6-Tabulka38111426323844505662[[#This Row],[Umístění]])))</f>
        <v>#N/A</v>
      </c>
      <c r="AH13" s="31" t="e">
        <f>_xlfn.RANK.EQ(Tabulka59121527333945515763[[#This Row],[Body]],Tabulka59121527333945515763[Body],0)</f>
        <v>#N/A</v>
      </c>
      <c r="AI13" s="51" t="s">
        <v>6</v>
      </c>
      <c r="AJ13" s="29" t="e">
        <f>VLOOKUP(Tabulka59121527333945515763[[#This Row],[Tým]],Tabulka38111426323844505662[[Tým]:[Body]],6,FALSE)+Tabulka59121527333945515763[[#This Row],[ ]]</f>
        <v>#N/A</v>
      </c>
      <c r="AK13" s="82" t="e">
        <f>VLOOKUP(Tabulka59121527333945515763[[#This Row],[Tým]],Tabulka591215273339455157[[Tým]:[Body]],2,FALSE)</f>
        <v>#N/A</v>
      </c>
      <c r="AL13" s="47" t="e">
        <f>Tabulka59121527333945515763[[#This Row],[Umístění]]</f>
        <v>#N/A</v>
      </c>
      <c r="AM13" s="15"/>
      <c r="AP13" s="1"/>
    </row>
    <row r="14" spans="1:42" ht="24.95" customHeight="1" x14ac:dyDescent="0.4">
      <c r="B14" s="6"/>
      <c r="C14" s="1" t="str">
        <f>IF(Tabulka17101325313743495561[[#This Row],[ ]]="","",IF(Tabulka17101325313743495561[[#This Row],[ ]]="NEÚČAST","",IF(OR(Tabulka17101325313743495561[Výsledný čas]="N",Tabulka17101325313743495561[Výsledný čas]="D"),$L$4-$L$5,_xlfn.RANK.EQ(Tabulka17101325313743495561[[#This Row],[ ]],Tabulka17101325313743495561[[ ]],1))))</f>
        <v/>
      </c>
      <c r="D14" s="7"/>
      <c r="E14" s="8"/>
      <c r="F14" s="8"/>
      <c r="G14" s="9" t="str">
        <f>IF(OR(Tabulka17101325313743495561[[#This Row],[LP]]="N",Tabulka17101325313743495561[[#This Row],[PP]]="N"),"N",IF(OR(Tabulka17101325313743495561[[#This Row],[LP]]="D",Tabulka17101325313743495561[[#This Row],[PP]]="D"),"D",IF(OR(Tabulka17101325313743495561[[#This Row],[LP]]="NEÚČAST",Tabulka17101325313743495561[[#This Row],[PP]]="NEÚČAST"),"NEÚČAST",IF(OR(Tabulka17101325313743495561[[#This Row],[LP]]="",Tabulka17101325313743495561[[#This Row],[PP]]=""),"",MAX(Tabulka17101325313743495561[[#This Row],[LP]:[PP]])))))</f>
        <v/>
      </c>
      <c r="H14" s="1">
        <f>COUNTIF(Tabulka17101325313743495561[[#This Row],[Tým]],"*")</f>
        <v>0</v>
      </c>
      <c r="I14" s="1">
        <f>COUNTIF(Tabulka17101325313743495561[[#This Row],[Výsledný čas]],"NEÚČAST")</f>
        <v>0</v>
      </c>
      <c r="J14" s="1" t="str">
        <f>IF(Tabulka17101325313743495561[[#This Row],[Výsledný čas]]="N",998,IF(Tabulka17101325313743495561[[#This Row],[Výsledný čas]]="D",998,IF(Tabulka17101325313743495561[[#This Row],[Výsledný čas]]="","",Tabulka17101325313743495561[[#This Row],[Výsledný čas]])))</f>
        <v/>
      </c>
      <c r="N14" s="68"/>
      <c r="P14" s="7"/>
      <c r="Q14" s="8"/>
      <c r="R14" s="8"/>
      <c r="Z14" s="31" t="e">
        <f>IF(OR(Tabulka38111426323844505662[Výsledný čas]="N",Tabulka38111426323844505662[Výsledný čas]="D",Tabulka38111426323844505662[Výsledný čas]="NEÚČAST"),Uvod!$E$4,_xlfn.RANK.EQ(Tabulka38111426323844505662[[#This Row],[ ]],Tabulka38111426323844505662[[ ]],1))</f>
        <v>#N/A</v>
      </c>
      <c r="AA14" s="51" t="s">
        <v>31</v>
      </c>
      <c r="AB14" s="44" t="e">
        <f>VLOOKUP(Tabulka38111426323844505662[[#This Row],[Tým]],Tabulka17101325313743495561[[Tým]:[ ]],2,FALSE)</f>
        <v>#N/A</v>
      </c>
      <c r="AC14" s="44" t="e">
        <f>VLOOKUP(Tabulka38111426323844505662[[#This Row],[Tým]],Tabulka17101325313743495561[[Tým]:[ ]],3,FALSE)</f>
        <v>#N/A</v>
      </c>
      <c r="AD14" s="25" t="e">
        <f>VLOOKUP(Tabulka38111426323844505662[[#This Row],[Tým]],Tabulka17101325313743495561[[Tým]:[ ]],4,FALSE)</f>
        <v>#N/A</v>
      </c>
      <c r="AE14" s="25" t="e">
        <f>VLOOKUP(Tabulka38111426323844505662[[#This Row],[Tým]],Tabulka17101325313743495561[[Tým]:[ ]],7,FALSE)</f>
        <v>#N/A</v>
      </c>
      <c r="AF14" s="29" t="e">
        <f>IF(Tabulka38111426323844505662[[#This Row],[Výsledný čas]]="N",5,IF(Tabulka38111426323844505662[[#This Row],[Výsledný čas]]="D",0,IF(Tabulka38111426323844505662[[#This Row],[Výsledný čas]]="NEÚČAST",0,Tabulka4[[#Totals],[Týmy muži]]+6-Tabulka38111426323844505662[[#This Row],[Umístění]])))</f>
        <v>#N/A</v>
      </c>
      <c r="AH14" s="31" t="e">
        <f>_xlfn.RANK.EQ(Tabulka59121527333945515763[[#This Row],[Body]],Tabulka59121527333945515763[Body],0)</f>
        <v>#N/A</v>
      </c>
      <c r="AI14" s="51" t="s">
        <v>31</v>
      </c>
      <c r="AJ14" s="29" t="e">
        <f>VLOOKUP(Tabulka59121527333945515763[[#This Row],[Tým]],Tabulka38111426323844505662[[Tým]:[Body]],6,FALSE)+Tabulka59121527333945515763[[#This Row],[ ]]</f>
        <v>#N/A</v>
      </c>
      <c r="AK14" s="82" t="e">
        <f>VLOOKUP(Tabulka59121527333945515763[[#This Row],[Tým]],Tabulka591215273339455157[[Tým]:[Body]],2,FALSE)</f>
        <v>#N/A</v>
      </c>
      <c r="AL14" s="47" t="e">
        <f>Tabulka59121527333945515763[[#This Row],[Umístění]]</f>
        <v>#N/A</v>
      </c>
      <c r="AM14" s="15"/>
      <c r="AP14" s="1"/>
    </row>
    <row r="15" spans="1:42" ht="24.95" customHeight="1" x14ac:dyDescent="0.4">
      <c r="B15" s="6"/>
      <c r="C15" s="1" t="str">
        <f>IF(Tabulka17101325313743495561[[#This Row],[ ]]="","",IF(Tabulka17101325313743495561[[#This Row],[ ]]="NEÚČAST","",IF(OR(Tabulka17101325313743495561[Výsledný čas]="N",Tabulka17101325313743495561[Výsledný čas]="D"),$L$4-$L$5,_xlfn.RANK.EQ(Tabulka17101325313743495561[[#This Row],[ ]],Tabulka17101325313743495561[[ ]],1))))</f>
        <v/>
      </c>
      <c r="D15" s="7"/>
      <c r="E15" s="8"/>
      <c r="F15" s="8"/>
      <c r="G15" s="9" t="str">
        <f>IF(OR(Tabulka17101325313743495561[[#This Row],[LP]]="N",Tabulka17101325313743495561[[#This Row],[PP]]="N"),"N",IF(OR(Tabulka17101325313743495561[[#This Row],[LP]]="D",Tabulka17101325313743495561[[#This Row],[PP]]="D"),"D",IF(OR(Tabulka17101325313743495561[[#This Row],[LP]]="NEÚČAST",Tabulka17101325313743495561[[#This Row],[PP]]="NEÚČAST"),"NEÚČAST",IF(OR(Tabulka17101325313743495561[[#This Row],[LP]]="",Tabulka17101325313743495561[[#This Row],[PP]]=""),"",MAX(Tabulka17101325313743495561[[#This Row],[LP]:[PP]])))))</f>
        <v/>
      </c>
      <c r="H15" s="1">
        <f>COUNTIF(Tabulka17101325313743495561[[#This Row],[Tým]],"*")</f>
        <v>0</v>
      </c>
      <c r="I15" s="1">
        <f>COUNTIF(Tabulka17101325313743495561[[#This Row],[Výsledný čas]],"NEÚČAST")</f>
        <v>0</v>
      </c>
      <c r="J15" s="1" t="str">
        <f>IF(Tabulka17101325313743495561[[#This Row],[Výsledný čas]]="N",998,IF(Tabulka17101325313743495561[[#This Row],[Výsledný čas]]="D",998,IF(Tabulka17101325313743495561[[#This Row],[Výsledný čas]]="","",Tabulka17101325313743495561[[#This Row],[Výsledný čas]])))</f>
        <v/>
      </c>
      <c r="N15" s="68"/>
      <c r="P15" s="7"/>
      <c r="Q15" s="8"/>
      <c r="R15" s="8"/>
      <c r="Z15" s="31" t="e">
        <f>IF(OR(Tabulka38111426323844505662[Výsledný čas]="N",Tabulka38111426323844505662[Výsledný čas]="D",Tabulka38111426323844505662[Výsledný čas]="NEÚČAST"),Uvod!$E$4,_xlfn.RANK.EQ(Tabulka38111426323844505662[[#This Row],[ ]],Tabulka38111426323844505662[[ ]],1))</f>
        <v>#N/A</v>
      </c>
      <c r="AA15" s="51" t="s">
        <v>16</v>
      </c>
      <c r="AB15" s="44" t="e">
        <f>VLOOKUP(Tabulka38111426323844505662[[#This Row],[Tým]],Tabulka17101325313743495561[[Tým]:[ ]],2,FALSE)</f>
        <v>#N/A</v>
      </c>
      <c r="AC15" s="44" t="e">
        <f>VLOOKUP(Tabulka38111426323844505662[[#This Row],[Tým]],Tabulka17101325313743495561[[Tým]:[ ]],3,FALSE)</f>
        <v>#N/A</v>
      </c>
      <c r="AD15" s="25" t="e">
        <f>VLOOKUP(Tabulka38111426323844505662[[#This Row],[Tým]],Tabulka17101325313743495561[[Tým]:[ ]],4,FALSE)</f>
        <v>#N/A</v>
      </c>
      <c r="AE15" s="25" t="e">
        <f>VLOOKUP(Tabulka38111426323844505662[[#This Row],[Tým]],Tabulka17101325313743495561[[Tým]:[ ]],7,FALSE)</f>
        <v>#N/A</v>
      </c>
      <c r="AF15" s="29" t="e">
        <f>IF(Tabulka38111426323844505662[[#This Row],[Výsledný čas]]="N",5,IF(Tabulka38111426323844505662[[#This Row],[Výsledný čas]]="D",0,IF(Tabulka38111426323844505662[[#This Row],[Výsledný čas]]="NEÚČAST",0,Tabulka4[[#Totals],[Týmy muži]]+6-Tabulka38111426323844505662[[#This Row],[Umístění]])))</f>
        <v>#N/A</v>
      </c>
      <c r="AH15" s="31" t="e">
        <f>_xlfn.RANK.EQ(Tabulka59121527333945515763[[#This Row],[Body]],Tabulka59121527333945515763[Body],0)</f>
        <v>#N/A</v>
      </c>
      <c r="AI15" s="51" t="s">
        <v>16</v>
      </c>
      <c r="AJ15" s="29" t="e">
        <f>VLOOKUP(Tabulka59121527333945515763[[#This Row],[Tým]],Tabulka38111426323844505662[[Tým]:[Body]],6,FALSE)+Tabulka59121527333945515763[[#This Row],[ ]]</f>
        <v>#N/A</v>
      </c>
      <c r="AK15" s="82" t="e">
        <f>VLOOKUP(Tabulka59121527333945515763[[#This Row],[Tým]],Tabulka591215273339455157[[Tým]:[Body]],2,FALSE)</f>
        <v>#N/A</v>
      </c>
      <c r="AL15" s="47" t="e">
        <f>Tabulka59121527333945515763[[#This Row],[Umístění]]</f>
        <v>#N/A</v>
      </c>
      <c r="AM15" s="15"/>
      <c r="AP15" s="1"/>
    </row>
    <row r="16" spans="1:42" ht="24.95" customHeight="1" x14ac:dyDescent="0.4">
      <c r="B16" s="11"/>
      <c r="C16" s="1" t="str">
        <f>IF(Tabulka17101325313743495561[[#This Row],[ ]]="","",IF(Tabulka17101325313743495561[[#This Row],[ ]]="NEÚČAST","",IF(OR(Tabulka17101325313743495561[Výsledný čas]="N",Tabulka17101325313743495561[Výsledný čas]="D"),$L$4-$L$5,_xlfn.RANK.EQ(Tabulka17101325313743495561[[#This Row],[ ]],Tabulka17101325313743495561[[ ]],1))))</f>
        <v/>
      </c>
      <c r="D16" s="7"/>
      <c r="E16" s="8"/>
      <c r="F16" s="8"/>
      <c r="G16" s="9" t="str">
        <f>IF(OR(Tabulka17101325313743495561[[#This Row],[LP]]="N",Tabulka17101325313743495561[[#This Row],[PP]]="N"),"N",IF(OR(Tabulka17101325313743495561[[#This Row],[LP]]="D",Tabulka17101325313743495561[[#This Row],[PP]]="D"),"D",IF(OR(Tabulka17101325313743495561[[#This Row],[LP]]="NEÚČAST",Tabulka17101325313743495561[[#This Row],[PP]]="NEÚČAST"),"NEÚČAST",IF(OR(Tabulka17101325313743495561[[#This Row],[LP]]="",Tabulka17101325313743495561[[#This Row],[PP]]=""),"",MAX(Tabulka17101325313743495561[[#This Row],[LP]:[PP]])))))</f>
        <v/>
      </c>
      <c r="H16" s="1">
        <f>COUNTIF(Tabulka17101325313743495561[[#This Row],[Tým]],"*")</f>
        <v>0</v>
      </c>
      <c r="I16" s="1">
        <f>COUNTIF(Tabulka17101325313743495561[[#This Row],[Výsledný čas]],"NEÚČAST")</f>
        <v>0</v>
      </c>
      <c r="J16" s="1" t="str">
        <f>IF(Tabulka17101325313743495561[[#This Row],[Výsledný čas]]="N",998,IF(Tabulka17101325313743495561[[#This Row],[Výsledný čas]]="D",998,IF(Tabulka17101325313743495561[[#This Row],[Výsledný čas]]="","",Tabulka17101325313743495561[[#This Row],[Výsledný čas]])))</f>
        <v/>
      </c>
      <c r="N16" s="70"/>
      <c r="P16" s="7"/>
      <c r="Q16" s="8"/>
      <c r="R16" s="8"/>
      <c r="Z16" s="31" t="e">
        <f>IF(OR(Tabulka38111426323844505662[Výsledný čas]="N",Tabulka38111426323844505662[Výsledný čas]="D",Tabulka38111426323844505662[Výsledný čas]="NEÚČAST"),Uvod!$E$4,_xlfn.RANK.EQ(Tabulka38111426323844505662[[#This Row],[ ]],Tabulka38111426323844505662[[ ]],1))</f>
        <v>#N/A</v>
      </c>
      <c r="AA16" s="51" t="s">
        <v>32</v>
      </c>
      <c r="AB16" s="44" t="e">
        <f>VLOOKUP(Tabulka38111426323844505662[[#This Row],[Tým]],Tabulka17101325313743495561[[Tým]:[ ]],2,FALSE)</f>
        <v>#N/A</v>
      </c>
      <c r="AC16" s="44" t="e">
        <f>VLOOKUP(Tabulka38111426323844505662[[#This Row],[Tým]],Tabulka17101325313743495561[[Tým]:[ ]],3,FALSE)</f>
        <v>#N/A</v>
      </c>
      <c r="AD16" s="25" t="e">
        <f>VLOOKUP(Tabulka38111426323844505662[[#This Row],[Tým]],Tabulka17101325313743495561[[Tým]:[ ]],4,FALSE)</f>
        <v>#N/A</v>
      </c>
      <c r="AE16" s="25" t="e">
        <f>VLOOKUP(Tabulka38111426323844505662[[#This Row],[Tým]],Tabulka17101325313743495561[[Tým]:[ ]],7,FALSE)</f>
        <v>#N/A</v>
      </c>
      <c r="AF16" s="29" t="e">
        <f>IF(Tabulka38111426323844505662[[#This Row],[Výsledný čas]]="N",5,IF(Tabulka38111426323844505662[[#This Row],[Výsledný čas]]="D",0,IF(Tabulka38111426323844505662[[#This Row],[Výsledný čas]]="NEÚČAST",0,Tabulka4[[#Totals],[Týmy muži]]+6-Tabulka38111426323844505662[[#This Row],[Umístění]])))</f>
        <v>#N/A</v>
      </c>
      <c r="AH16" s="31" t="e">
        <f>_xlfn.RANK.EQ(Tabulka59121527333945515763[[#This Row],[Body]],Tabulka59121527333945515763[Body],0)</f>
        <v>#N/A</v>
      </c>
      <c r="AI16" s="51" t="s">
        <v>32</v>
      </c>
      <c r="AJ16" s="29" t="e">
        <f>VLOOKUP(Tabulka59121527333945515763[[#This Row],[Tým]],Tabulka38111426323844505662[[Tým]:[Body]],6,FALSE)+Tabulka59121527333945515763[[#This Row],[ ]]</f>
        <v>#N/A</v>
      </c>
      <c r="AK16" s="82" t="e">
        <f>VLOOKUP(Tabulka59121527333945515763[[#This Row],[Tým]],Tabulka591215273339455157[[Tým]:[Body]],2,FALSE)</f>
        <v>#N/A</v>
      </c>
      <c r="AL16" s="47" t="e">
        <f>Tabulka59121527333945515763[[#This Row],[Umístění]]</f>
        <v>#N/A</v>
      </c>
      <c r="AM16" s="15"/>
      <c r="AP16" s="1"/>
    </row>
    <row r="17" spans="2:42" ht="24.95" customHeight="1" x14ac:dyDescent="0.4">
      <c r="B17" s="6"/>
      <c r="C17" s="1" t="str">
        <f>IF(Tabulka17101325313743495561[[#This Row],[ ]]="","",IF(Tabulka17101325313743495561[[#This Row],[ ]]="NEÚČAST","",IF(OR(Tabulka17101325313743495561[Výsledný čas]="N",Tabulka17101325313743495561[Výsledný čas]="D"),$L$4-$L$5,_xlfn.RANK.EQ(Tabulka17101325313743495561[[#This Row],[ ]],Tabulka17101325313743495561[[ ]],1))))</f>
        <v/>
      </c>
      <c r="D17" s="12"/>
      <c r="E17" s="8"/>
      <c r="F17" s="8"/>
      <c r="G17" s="9" t="str">
        <f>IF(OR(Tabulka17101325313743495561[[#This Row],[LP]]="N",Tabulka17101325313743495561[[#This Row],[PP]]="N"),"N",IF(OR(Tabulka17101325313743495561[[#This Row],[LP]]="D",Tabulka17101325313743495561[[#This Row],[PP]]="D"),"D",IF(OR(Tabulka17101325313743495561[[#This Row],[LP]]="NEÚČAST",Tabulka17101325313743495561[[#This Row],[PP]]="NEÚČAST"),"NEÚČAST",IF(OR(Tabulka17101325313743495561[[#This Row],[LP]]="",Tabulka17101325313743495561[[#This Row],[PP]]=""),"",MAX(Tabulka17101325313743495561[[#This Row],[LP]:[PP]])))))</f>
        <v/>
      </c>
      <c r="H17" s="1">
        <f>COUNTIF(Tabulka17101325313743495561[[#This Row],[Tým]],"*")</f>
        <v>0</v>
      </c>
      <c r="I17" s="1">
        <f>COUNTIF(Tabulka17101325313743495561[[#This Row],[Výsledný čas]],"NEÚČAST")</f>
        <v>0</v>
      </c>
      <c r="J17" s="1" t="str">
        <f>IF(Tabulka17101325313743495561[[#This Row],[Výsledný čas]]="N",998,IF(Tabulka17101325313743495561[[#This Row],[Výsledný čas]]="D",998,IF(Tabulka17101325313743495561[[#This Row],[Výsledný čas]]="","",Tabulka17101325313743495561[[#This Row],[Výsledný čas]])))</f>
        <v/>
      </c>
      <c r="P17" s="7"/>
      <c r="Q17" s="8"/>
      <c r="R17" s="8"/>
      <c r="Z17" s="31" t="e">
        <f>IF(OR(Tabulka38111426323844505662[Výsledný čas]="N",Tabulka38111426323844505662[Výsledný čas]="D",Tabulka38111426323844505662[Výsledný čas]="NEÚČAST"),Uvod!$E$4,_xlfn.RANK.EQ(Tabulka38111426323844505662[[#This Row],[ ]],Tabulka38111426323844505662[[ ]],1))</f>
        <v>#N/A</v>
      </c>
      <c r="AA17" s="51" t="s">
        <v>25</v>
      </c>
      <c r="AB17" s="44" t="e">
        <f>VLOOKUP(Tabulka38111426323844505662[[#This Row],[Tým]],Tabulka17101325313743495561[[Tým]:[ ]],2,FALSE)</f>
        <v>#N/A</v>
      </c>
      <c r="AC17" s="44" t="e">
        <f>VLOOKUP(Tabulka38111426323844505662[[#This Row],[Tým]],Tabulka17101325313743495561[[Tým]:[ ]],3,FALSE)</f>
        <v>#N/A</v>
      </c>
      <c r="AD17" s="25" t="e">
        <f>VLOOKUP(Tabulka38111426323844505662[[#This Row],[Tým]],Tabulka17101325313743495561[[Tým]:[ ]],4,FALSE)</f>
        <v>#N/A</v>
      </c>
      <c r="AE17" s="25" t="e">
        <f>VLOOKUP(Tabulka38111426323844505662[[#This Row],[Tým]],Tabulka17101325313743495561[[Tým]:[ ]],7,FALSE)</f>
        <v>#N/A</v>
      </c>
      <c r="AF17" s="29" t="e">
        <f>IF(Tabulka38111426323844505662[[#This Row],[Výsledný čas]]="N",5,IF(Tabulka38111426323844505662[[#This Row],[Výsledný čas]]="D",0,IF(Tabulka38111426323844505662[[#This Row],[Výsledný čas]]="NEÚČAST",0,Tabulka4[[#Totals],[Týmy muži]]+6-Tabulka38111426323844505662[[#This Row],[Umístění]])))</f>
        <v>#N/A</v>
      </c>
      <c r="AH17" s="31" t="e">
        <f>_xlfn.RANK.EQ(Tabulka59121527333945515763[[#This Row],[Body]],Tabulka59121527333945515763[Body],0)</f>
        <v>#N/A</v>
      </c>
      <c r="AI17" s="51" t="s">
        <v>25</v>
      </c>
      <c r="AJ17" s="29" t="e">
        <f>VLOOKUP(Tabulka59121527333945515763[[#This Row],[Tým]],Tabulka38111426323844505662[[Tým]:[Body]],6,FALSE)+Tabulka59121527333945515763[[#This Row],[ ]]</f>
        <v>#N/A</v>
      </c>
      <c r="AK17" s="82" t="e">
        <f>VLOOKUP(Tabulka59121527333945515763[[#This Row],[Tým]],Tabulka591215273339455157[[Tým]:[Body]],2,FALSE)</f>
        <v>#N/A</v>
      </c>
      <c r="AL17" s="47" t="e">
        <f>Tabulka59121527333945515763[[#This Row],[Umístění]]</f>
        <v>#N/A</v>
      </c>
      <c r="AM17" s="15"/>
      <c r="AP17" s="1"/>
    </row>
    <row r="18" spans="2:42" ht="24.95" customHeight="1" x14ac:dyDescent="0.4">
      <c r="B18" s="11"/>
      <c r="C18" s="1" t="str">
        <f>IF(Tabulka17101325313743495561[[#This Row],[ ]]="","",IF(Tabulka17101325313743495561[[#This Row],[ ]]="NEÚČAST","",IF(OR(Tabulka17101325313743495561[Výsledný čas]="N",Tabulka17101325313743495561[Výsledný čas]="D"),$L$4-$L$5,_xlfn.RANK.EQ(Tabulka17101325313743495561[[#This Row],[ ]],Tabulka17101325313743495561[[ ]],1))))</f>
        <v/>
      </c>
      <c r="D18" s="12"/>
      <c r="E18" s="8"/>
      <c r="F18" s="8"/>
      <c r="G18" s="9" t="str">
        <f>IF(OR(Tabulka17101325313743495561[[#This Row],[LP]]="N",Tabulka17101325313743495561[[#This Row],[PP]]="N"),"N",IF(OR(Tabulka17101325313743495561[[#This Row],[LP]]="D",Tabulka17101325313743495561[[#This Row],[PP]]="D"),"D",IF(OR(Tabulka17101325313743495561[[#This Row],[LP]]="NEÚČAST",Tabulka17101325313743495561[[#This Row],[PP]]="NEÚČAST"),"NEÚČAST",IF(OR(Tabulka17101325313743495561[[#This Row],[LP]]="",Tabulka17101325313743495561[[#This Row],[PP]]=""),"",MAX(Tabulka17101325313743495561[[#This Row],[LP]:[PP]])))))</f>
        <v/>
      </c>
      <c r="H18" s="1">
        <f>COUNTIF(Tabulka17101325313743495561[[#This Row],[Tým]],"*")</f>
        <v>0</v>
      </c>
      <c r="I18" s="1">
        <f>COUNTIF(Tabulka17101325313743495561[[#This Row],[Výsledný čas]],"NEÚČAST")</f>
        <v>0</v>
      </c>
      <c r="J18" s="1" t="str">
        <f>IF(Tabulka17101325313743495561[[#This Row],[Výsledný čas]]="N",998,IF(Tabulka17101325313743495561[[#This Row],[Výsledný čas]]="D",998,IF(Tabulka17101325313743495561[[#This Row],[Výsledný čas]]="","",Tabulka17101325313743495561[[#This Row],[Výsledný čas]])))</f>
        <v/>
      </c>
      <c r="P18" s="7"/>
      <c r="Q18" s="8"/>
      <c r="R18" s="8"/>
      <c r="Z18" s="31" t="e">
        <f>IF(OR(Tabulka38111426323844505662[Výsledný čas]="N",Tabulka38111426323844505662[Výsledný čas]="D",Tabulka38111426323844505662[Výsledný čas]="NEÚČAST"),Uvod!$E$4,_xlfn.RANK.EQ(Tabulka38111426323844505662[[#This Row],[ ]],Tabulka38111426323844505662[[ ]],1))</f>
        <v>#N/A</v>
      </c>
      <c r="AA18" s="51" t="s">
        <v>14</v>
      </c>
      <c r="AB18" s="44" t="e">
        <f>VLOOKUP(Tabulka38111426323844505662[[#This Row],[Tým]],Tabulka17101325313743495561[[Tým]:[ ]],2,FALSE)</f>
        <v>#N/A</v>
      </c>
      <c r="AC18" s="44" t="e">
        <f>VLOOKUP(Tabulka38111426323844505662[[#This Row],[Tým]],Tabulka17101325313743495561[[Tým]:[ ]],3,FALSE)</f>
        <v>#N/A</v>
      </c>
      <c r="AD18" s="25" t="e">
        <f>VLOOKUP(Tabulka38111426323844505662[[#This Row],[Tým]],Tabulka17101325313743495561[[Tým]:[ ]],4,FALSE)</f>
        <v>#N/A</v>
      </c>
      <c r="AE18" s="25" t="e">
        <f>VLOOKUP(Tabulka38111426323844505662[[#This Row],[Tým]],Tabulka17101325313743495561[[Tým]:[ ]],7,FALSE)</f>
        <v>#N/A</v>
      </c>
      <c r="AF18" s="29" t="e">
        <f>IF(Tabulka38111426323844505662[[#This Row],[Výsledný čas]]="N",5,IF(Tabulka38111426323844505662[[#This Row],[Výsledný čas]]="D",0,IF(Tabulka38111426323844505662[[#This Row],[Výsledný čas]]="NEÚČAST",0,Tabulka4[[#Totals],[Týmy muži]]+6-Tabulka38111426323844505662[[#This Row],[Umístění]])))</f>
        <v>#N/A</v>
      </c>
      <c r="AH18" s="31" t="e">
        <f>_xlfn.RANK.EQ(Tabulka59121527333945515763[[#This Row],[Body]],Tabulka59121527333945515763[Body],0)</f>
        <v>#N/A</v>
      </c>
      <c r="AI18" s="51" t="s">
        <v>14</v>
      </c>
      <c r="AJ18" s="29" t="e">
        <f>VLOOKUP(Tabulka59121527333945515763[[#This Row],[Tým]],Tabulka38111426323844505662[[Tým]:[Body]],6,FALSE)+Tabulka59121527333945515763[[#This Row],[ ]]</f>
        <v>#N/A</v>
      </c>
      <c r="AK18" s="82" t="e">
        <f>VLOOKUP(Tabulka59121527333945515763[[#This Row],[Tým]],Tabulka591215273339455157[[Tým]:[Body]],2,FALSE)</f>
        <v>#N/A</v>
      </c>
      <c r="AL18" s="47" t="e">
        <f>Tabulka59121527333945515763[[#This Row],[Umístění]]</f>
        <v>#N/A</v>
      </c>
      <c r="AM18" s="15"/>
      <c r="AP18" s="1"/>
    </row>
    <row r="19" spans="2:42" ht="24.95" customHeight="1" x14ac:dyDescent="0.4">
      <c r="B19" s="6"/>
      <c r="C19" s="1" t="str">
        <f>IF(Tabulka17101325313743495561[[#This Row],[ ]]="","",IF(Tabulka17101325313743495561[[#This Row],[ ]]="NEÚČAST","",IF(OR(Tabulka17101325313743495561[Výsledný čas]="N",Tabulka17101325313743495561[Výsledný čas]="D"),$L$4-$L$5,_xlfn.RANK.EQ(Tabulka17101325313743495561[[#This Row],[ ]],Tabulka17101325313743495561[[ ]],1))))</f>
        <v/>
      </c>
      <c r="D19" s="7"/>
      <c r="E19" s="8"/>
      <c r="F19" s="8"/>
      <c r="G19" s="9" t="str">
        <f>IF(OR(Tabulka17101325313743495561[[#This Row],[LP]]="N",Tabulka17101325313743495561[[#This Row],[PP]]="N"),"N",IF(OR(Tabulka17101325313743495561[[#This Row],[LP]]="D",Tabulka17101325313743495561[[#This Row],[PP]]="D"),"D",IF(OR(Tabulka17101325313743495561[[#This Row],[LP]]="NEÚČAST",Tabulka17101325313743495561[[#This Row],[PP]]="NEÚČAST"),"NEÚČAST",IF(OR(Tabulka17101325313743495561[[#This Row],[LP]]="",Tabulka17101325313743495561[[#This Row],[PP]]=""),"",MAX(Tabulka17101325313743495561[[#This Row],[LP]:[PP]])))))</f>
        <v/>
      </c>
      <c r="H19" s="1">
        <f>COUNTIF(Tabulka17101325313743495561[[#This Row],[Tým]],"*")</f>
        <v>0</v>
      </c>
      <c r="I19" s="1">
        <f>COUNTIF(Tabulka17101325313743495561[[#This Row],[Výsledný čas]],"NEÚČAST")</f>
        <v>0</v>
      </c>
      <c r="J19" s="1" t="str">
        <f>IF(Tabulka17101325313743495561[[#This Row],[Výsledný čas]]="N",998,IF(Tabulka17101325313743495561[[#This Row],[Výsledný čas]]="D",998,IF(Tabulka17101325313743495561[[#This Row],[Výsledný čas]]="","",Tabulka17101325313743495561[[#This Row],[Výsledný čas]])))</f>
        <v/>
      </c>
      <c r="N19" s="68"/>
      <c r="P19" s="10"/>
      <c r="Q19" s="8"/>
      <c r="R19" s="8"/>
      <c r="Z19" s="31" t="e">
        <f>IF(OR(Tabulka38111426323844505662[Výsledný čas]="N",Tabulka38111426323844505662[Výsledný čas]="D",Tabulka38111426323844505662[Výsledný čas]="NEÚČAST"),Uvod!$E$4,_xlfn.RANK.EQ(Tabulka38111426323844505662[[#This Row],[ ]],Tabulka38111426323844505662[[ ]],1))</f>
        <v>#N/A</v>
      </c>
      <c r="AA19" s="97" t="s">
        <v>33</v>
      </c>
      <c r="AB19" s="44" t="e">
        <f>VLOOKUP(Tabulka38111426323844505662[[#This Row],[Tým]],Tabulka17101325313743495561[[Tým]:[ ]],2,FALSE)</f>
        <v>#N/A</v>
      </c>
      <c r="AC19" s="44" t="e">
        <f>VLOOKUP(Tabulka38111426323844505662[[#This Row],[Tým]],Tabulka17101325313743495561[[Tým]:[ ]],3,FALSE)</f>
        <v>#N/A</v>
      </c>
      <c r="AD19" s="25" t="e">
        <f>VLOOKUP(Tabulka38111426323844505662[[#This Row],[Tým]],Tabulka17101325313743495561[[Tým]:[ ]],4,FALSE)</f>
        <v>#N/A</v>
      </c>
      <c r="AE19" s="25" t="e">
        <f>VLOOKUP(Tabulka38111426323844505662[[#This Row],[Tým]],Tabulka17101325313743495561[[Tým]:[ ]],7,FALSE)</f>
        <v>#N/A</v>
      </c>
      <c r="AF19" s="29" t="e">
        <f>IF(Tabulka38111426323844505662[[#This Row],[Výsledný čas]]="N",5,IF(Tabulka38111426323844505662[[#This Row],[Výsledný čas]]="D",0,IF(Tabulka38111426323844505662[[#This Row],[Výsledný čas]]="NEÚČAST",0,Tabulka4[[#Totals],[Týmy muži]]+6-Tabulka38111426323844505662[[#This Row],[Umístění]])))</f>
        <v>#N/A</v>
      </c>
      <c r="AH19" s="31" t="e">
        <f>_xlfn.RANK.EQ(Tabulka59121527333945515763[[#This Row],[Body]],Tabulka59121527333945515763[Body],0)</f>
        <v>#N/A</v>
      </c>
      <c r="AI19" s="97" t="s">
        <v>33</v>
      </c>
      <c r="AJ19" s="29" t="e">
        <f>VLOOKUP(Tabulka59121527333945515763[[#This Row],[Tým]],Tabulka38111426323844505662[[Tým]:[Body]],6,FALSE)+Tabulka59121527333945515763[[#This Row],[ ]]</f>
        <v>#N/A</v>
      </c>
      <c r="AK19" s="82" t="e">
        <f>VLOOKUP(Tabulka59121527333945515763[[#This Row],[Tým]],Tabulka591215273339455157[[Tým]:[Body]],2,FALSE)</f>
        <v>#N/A</v>
      </c>
      <c r="AL19" s="47" t="e">
        <f>Tabulka59121527333945515763[[#This Row],[Umístění]]</f>
        <v>#N/A</v>
      </c>
      <c r="AM19" s="15"/>
      <c r="AP19" s="1"/>
    </row>
    <row r="20" spans="2:42" ht="24.95" customHeight="1" thickBot="1" x14ac:dyDescent="0.45">
      <c r="B20" s="11"/>
      <c r="C20" s="1" t="str">
        <f>IF(Tabulka17101325313743495561[[#This Row],[ ]]="","",IF(Tabulka17101325313743495561[[#This Row],[ ]]="NEÚČAST","",IF(OR(Tabulka17101325313743495561[Výsledný čas]="N",Tabulka17101325313743495561[Výsledný čas]="D"),$L$4-$L$5,_xlfn.RANK.EQ(Tabulka17101325313743495561[[#This Row],[ ]],Tabulka17101325313743495561[[ ]],1))))</f>
        <v/>
      </c>
      <c r="D20" s="7"/>
      <c r="E20" s="8"/>
      <c r="F20" s="8"/>
      <c r="G20" s="9" t="str">
        <f>IF(OR(Tabulka17101325313743495561[[#This Row],[LP]]="N",Tabulka17101325313743495561[[#This Row],[PP]]="N"),"N",IF(OR(Tabulka17101325313743495561[[#This Row],[LP]]="D",Tabulka17101325313743495561[[#This Row],[PP]]="D"),"D",IF(OR(Tabulka17101325313743495561[[#This Row],[LP]]="NEÚČAST",Tabulka17101325313743495561[[#This Row],[PP]]="NEÚČAST"),"NEÚČAST",IF(OR(Tabulka17101325313743495561[[#This Row],[LP]]="",Tabulka17101325313743495561[[#This Row],[PP]]=""),"",MAX(Tabulka17101325313743495561[[#This Row],[LP]:[PP]])))))</f>
        <v/>
      </c>
      <c r="H20" s="1">
        <f>COUNTIF(Tabulka17101325313743495561[[#This Row],[Tým]],"*")</f>
        <v>0</v>
      </c>
      <c r="I20" s="1">
        <f>COUNTIF(Tabulka17101325313743495561[[#This Row],[Výsledný čas]],"NEÚČAST")</f>
        <v>0</v>
      </c>
      <c r="J20" s="1" t="str">
        <f>IF(Tabulka17101325313743495561[[#This Row],[Výsledný čas]]="N",998,IF(Tabulka17101325313743495561[[#This Row],[Výsledný čas]]="D",998,IF(Tabulka17101325313743495561[[#This Row],[Výsledný čas]]="","",Tabulka17101325313743495561[[#This Row],[Výsledný čas]])))</f>
        <v/>
      </c>
      <c r="N20" s="70"/>
      <c r="P20" s="10"/>
      <c r="Q20" s="8"/>
      <c r="R20" s="8"/>
      <c r="Z20" s="31" t="e">
        <f>IF(OR(Tabulka38111426323844505662[Výsledný čas]="N",Tabulka38111426323844505662[Výsledný čas]="D",Tabulka38111426323844505662[Výsledný čas]="NEÚČAST"),Uvod!$E$4,_xlfn.RANK.EQ(Tabulka38111426323844505662[[#This Row],[ ]],Tabulka38111426323844505662[[ ]],1))</f>
        <v>#N/A</v>
      </c>
      <c r="AA20" s="97" t="s">
        <v>17</v>
      </c>
      <c r="AB20" s="44" t="e">
        <f>VLOOKUP(Tabulka38111426323844505662[[#This Row],[Tým]],Tabulka17101325313743495561[[Tým]:[ ]],2,FALSE)</f>
        <v>#N/A</v>
      </c>
      <c r="AC20" s="44" t="e">
        <f>VLOOKUP(Tabulka38111426323844505662[[#This Row],[Tým]],Tabulka17101325313743495561[[Tým]:[ ]],3,FALSE)</f>
        <v>#N/A</v>
      </c>
      <c r="AD20" s="25" t="e">
        <f>VLOOKUP(Tabulka38111426323844505662[[#This Row],[Tým]],Tabulka17101325313743495561[[Tým]:[ ]],4,FALSE)</f>
        <v>#N/A</v>
      </c>
      <c r="AE20" s="25" t="e">
        <f>VLOOKUP(Tabulka38111426323844505662[[#This Row],[Tým]],Tabulka17101325313743495561[[Tým]:[ ]],7,FALSE)</f>
        <v>#N/A</v>
      </c>
      <c r="AF20" s="29" t="e">
        <f>IF(Tabulka38111426323844505662[[#This Row],[Výsledný čas]]="N",5,IF(Tabulka38111426323844505662[[#This Row],[Výsledný čas]]="D",0,IF(Tabulka38111426323844505662[[#This Row],[Výsledný čas]]="NEÚČAST",0,Tabulka4[[#Totals],[Týmy muži]]+6-Tabulka38111426323844505662[[#This Row],[Umístění]])))</f>
        <v>#N/A</v>
      </c>
      <c r="AH20" s="31" t="e">
        <f>_xlfn.RANK.EQ(Tabulka59121527333945515763[[#This Row],[Body]],Tabulka59121527333945515763[Body],0)</f>
        <v>#N/A</v>
      </c>
      <c r="AI20" s="97" t="s">
        <v>17</v>
      </c>
      <c r="AJ20" s="29" t="e">
        <f>VLOOKUP(Tabulka59121527333945515763[[#This Row],[Tým]],Tabulka38111426323844505662[[Tým]:[Body]],6,FALSE)+Tabulka59121527333945515763[[#This Row],[ ]]</f>
        <v>#N/A</v>
      </c>
      <c r="AK20" s="83" t="e">
        <f>VLOOKUP(Tabulka59121527333945515763[[#This Row],[Tým]],Tabulka591215273339455157[[Tým]:[Body]],2,FALSE)</f>
        <v>#N/A</v>
      </c>
      <c r="AL20" s="93" t="e">
        <f>Tabulka59121527333945515763[[#This Row],[Umístění]]</f>
        <v>#N/A</v>
      </c>
      <c r="AM20" s="15"/>
      <c r="AP20" s="1"/>
    </row>
    <row r="21" spans="2:42" ht="24.95" customHeight="1" x14ac:dyDescent="0.4">
      <c r="B21" s="6"/>
      <c r="C21" s="1" t="str">
        <f>IF(Tabulka17101325313743495561[[#This Row],[ ]]="","",IF(Tabulka17101325313743495561[[#This Row],[ ]]="NEÚČAST","",IF(OR(Tabulka17101325313743495561[Výsledný čas]="N",Tabulka17101325313743495561[Výsledný čas]="D"),$L$4-$L$5,_xlfn.RANK.EQ(Tabulka17101325313743495561[[#This Row],[ ]],Tabulka17101325313743495561[[ ]],1))))</f>
        <v/>
      </c>
      <c r="D21" s="7"/>
      <c r="E21" s="13"/>
      <c r="F21" s="8"/>
      <c r="G21" s="9" t="str">
        <f>IF(OR(Tabulka17101325313743495561[[#This Row],[LP]]="N",Tabulka17101325313743495561[[#This Row],[PP]]="N"),"N",IF(OR(Tabulka17101325313743495561[[#This Row],[LP]]="D",Tabulka17101325313743495561[[#This Row],[PP]]="D"),"D",IF(OR(Tabulka17101325313743495561[[#This Row],[LP]]="NEÚČAST",Tabulka17101325313743495561[[#This Row],[PP]]="NEÚČAST"),"NEÚČAST",IF(OR(Tabulka17101325313743495561[[#This Row],[LP]]="",Tabulka17101325313743495561[[#This Row],[PP]]=""),"",MAX(Tabulka17101325313743495561[[#This Row],[LP]:[PP]])))))</f>
        <v/>
      </c>
      <c r="H21" s="1">
        <f>COUNTIF(Tabulka17101325313743495561[[#This Row],[Tým]],"*")</f>
        <v>0</v>
      </c>
      <c r="I21" s="1">
        <f>COUNTIF(Tabulka17101325313743495561[[#This Row],[Výsledný čas]],"NEÚČAST")</f>
        <v>0</v>
      </c>
      <c r="J21" s="1" t="str">
        <f>IF(Tabulka17101325313743495561[[#This Row],[Výsledný čas]]="N",998,IF(Tabulka17101325313743495561[[#This Row],[Výsledný čas]]="D",998,IF(Tabulka17101325313743495561[[#This Row],[Výsledný čas]]="","",Tabulka17101325313743495561[[#This Row],[Výsledný čas]])))</f>
        <v/>
      </c>
      <c r="P21" s="10"/>
      <c r="Q21" s="8"/>
      <c r="R21" s="8"/>
      <c r="Z21" s="31" t="e">
        <f>IF(OR(Tabulka38111426323844505662[Výsledný čas]="N",Tabulka38111426323844505662[Výsledný čas]="D",Tabulka38111426323844505662[Výsledný čas]="NEÚČAST"),Uvod!$E$4,_xlfn.RANK.EQ(Tabulka38111426323844505662[[#This Row],[ ]],Tabulka38111426323844505662[[ ]],1))</f>
        <v>#N/A</v>
      </c>
      <c r="AA21" s="51" t="s">
        <v>24</v>
      </c>
      <c r="AB21" s="44" t="e">
        <f>VLOOKUP(Tabulka38111426323844505662[[#This Row],[Tým]],Tabulka17101325313743495561[[Tým]:[ ]],2,FALSE)</f>
        <v>#N/A</v>
      </c>
      <c r="AC21" s="44" t="e">
        <f>VLOOKUP(Tabulka38111426323844505662[[#This Row],[Tým]],Tabulka17101325313743495561[[Tým]:[ ]],3,FALSE)</f>
        <v>#N/A</v>
      </c>
      <c r="AD21" s="25" t="e">
        <f>VLOOKUP(Tabulka38111426323844505662[[#This Row],[Tým]],Tabulka17101325313743495561[[Tým]:[ ]],4,FALSE)</f>
        <v>#N/A</v>
      </c>
      <c r="AE21" s="25" t="e">
        <f>VLOOKUP(Tabulka38111426323844505662[[#This Row],[Tým]],Tabulka17101325313743495561[[Tým]:[ ]],7,FALSE)</f>
        <v>#N/A</v>
      </c>
      <c r="AF21" s="29" t="e">
        <f>IF(Tabulka38111426323844505662[[#This Row],[Výsledný čas]]="N",5,IF(Tabulka38111426323844505662[[#This Row],[Výsledný čas]]="D",0,IF(Tabulka38111426323844505662[[#This Row],[Výsledný čas]]="NEÚČAST",0,Tabulka4[[#Totals],[Týmy muži]]+6-Tabulka38111426323844505662[[#This Row],[Umístění]])))</f>
        <v>#N/A</v>
      </c>
      <c r="AH21" s="31" t="e">
        <f>_xlfn.RANK.EQ(Tabulka59121527333945515763[[#This Row],[Body]],Tabulka59121527333945515763[Body],0)</f>
        <v>#N/A</v>
      </c>
      <c r="AI21" s="51" t="s">
        <v>24</v>
      </c>
      <c r="AJ21" s="29" t="e">
        <f>VLOOKUP(Tabulka59121527333945515763[[#This Row],[Tým]],Tabulka38111426323844505662[[Tým]:[Body]],6,FALSE)+Tabulka59121527333945515763[[#This Row],[ ]]</f>
        <v>#N/A</v>
      </c>
      <c r="AK21" s="82" t="e">
        <f>VLOOKUP(Tabulka59121527333945515763[[#This Row],[Tým]],Tabulka591215273339455157[[Tým]:[Body]],2,FALSE)</f>
        <v>#N/A</v>
      </c>
      <c r="AL21" s="47" t="e">
        <f>Tabulka59121527333945515763[[#This Row],[Umístění]]</f>
        <v>#N/A</v>
      </c>
    </row>
    <row r="22" spans="2:42" ht="24.95" customHeight="1" thickBot="1" x14ac:dyDescent="0.45">
      <c r="B22" s="6"/>
      <c r="C22" s="1" t="str">
        <f>IF(Tabulka17101325313743495561[[#This Row],[ ]]="","",IF(Tabulka17101325313743495561[[#This Row],[ ]]="NEÚČAST","",IF(OR(Tabulka17101325313743495561[Výsledný čas]="N",Tabulka17101325313743495561[Výsledný čas]="D"),$L$4-$L$5,_xlfn.RANK.EQ(Tabulka17101325313743495561[[#This Row],[ ]],Tabulka17101325313743495561[[ ]],1))))</f>
        <v/>
      </c>
      <c r="D22" s="7"/>
      <c r="E22" s="8"/>
      <c r="F22" s="8"/>
      <c r="G22" s="9" t="str">
        <f>IF(OR(Tabulka17101325313743495561[[#This Row],[LP]]="N",Tabulka17101325313743495561[[#This Row],[PP]]="N"),"N",IF(OR(Tabulka17101325313743495561[[#This Row],[LP]]="D",Tabulka17101325313743495561[[#This Row],[PP]]="D"),"D",IF(OR(Tabulka17101325313743495561[[#This Row],[LP]]="NEÚČAST",Tabulka17101325313743495561[[#This Row],[PP]]="NEÚČAST"),"NEÚČAST",IF(OR(Tabulka17101325313743495561[[#This Row],[LP]]="",Tabulka17101325313743495561[[#This Row],[PP]]=""),"",MAX(Tabulka17101325313743495561[[#This Row],[LP]:[PP]])))))</f>
        <v/>
      </c>
      <c r="H22" s="1">
        <f>COUNTIF(Tabulka17101325313743495561[[#This Row],[Tým]],"*")</f>
        <v>0</v>
      </c>
      <c r="I22" s="1">
        <f>COUNTIF(Tabulka17101325313743495561[[#This Row],[Výsledný čas]],"NEÚČAST")</f>
        <v>0</v>
      </c>
      <c r="J22" s="1" t="str">
        <f>IF(Tabulka17101325313743495561[[#This Row],[Výsledný čas]]="N",998,IF(Tabulka17101325313743495561[[#This Row],[Výsledný čas]]="D",998,IF(Tabulka17101325313743495561[[#This Row],[Výsledný čas]]="","",Tabulka17101325313743495561[[#This Row],[Výsledný čas]])))</f>
        <v/>
      </c>
      <c r="P22" s="10"/>
      <c r="Q22" s="8"/>
      <c r="R22" s="8"/>
      <c r="Z22" s="33" t="e">
        <f>IF(OR(Tabulka38111426323844505662[Výsledný čas]="N",Tabulka38111426323844505662[Výsledný čas]="D",Tabulka38111426323844505662[Výsledný čas]="NEÚČAST"),Uvod!$E$4,_xlfn.RANK.EQ(Tabulka38111426323844505662[[#This Row],[ ]],Tabulka38111426323844505662[[ ]],1))</f>
        <v>#N/A</v>
      </c>
      <c r="AA22" s="98" t="s">
        <v>13</v>
      </c>
      <c r="AB22" s="45" t="e">
        <f>VLOOKUP(Tabulka38111426323844505662[[#This Row],[Tým]],Tabulka17101325313743495561[[Tým]:[ ]],2,FALSE)</f>
        <v>#N/A</v>
      </c>
      <c r="AC22" s="45" t="e">
        <f>VLOOKUP(Tabulka38111426323844505662[[#This Row],[Tým]],Tabulka17101325313743495561[[Tým]:[ ]],3,FALSE)</f>
        <v>#N/A</v>
      </c>
      <c r="AD22" s="34" t="e">
        <f>VLOOKUP(Tabulka38111426323844505662[[#This Row],[Tým]],Tabulka17101325313743495561[[Tým]:[ ]],4,FALSE)</f>
        <v>#N/A</v>
      </c>
      <c r="AE22" s="34" t="e">
        <f>VLOOKUP(Tabulka38111426323844505662[[#This Row],[Tým]],Tabulka17101325313743495561[[Tým]:[ ]],7,FALSE)</f>
        <v>#N/A</v>
      </c>
      <c r="AF22" s="36" t="e">
        <f>IF(Tabulka38111426323844505662[[#This Row],[Výsledný čas]]="N",5,IF(Tabulka38111426323844505662[[#This Row],[Výsledný čas]]="D",0,IF(Tabulka38111426323844505662[[#This Row],[Výsledný čas]]="NEÚČAST",0,Tabulka4[[#Totals],[Týmy muži]]+6-Tabulka38111426323844505662[[#This Row],[Umístění]])))</f>
        <v>#N/A</v>
      </c>
      <c r="AH22" s="33" t="e">
        <f>_xlfn.RANK.EQ(Tabulka59121527333945515763[[#This Row],[Body]],Tabulka59121527333945515763[Body],0)</f>
        <v>#N/A</v>
      </c>
      <c r="AI22" s="98" t="s">
        <v>13</v>
      </c>
      <c r="AJ22" s="36" t="e">
        <f>VLOOKUP(Tabulka59121527333945515763[[#This Row],[Tým]],Tabulka38111426323844505662[[Tým]:[Body]],6,FALSE)+Tabulka59121527333945515763[[#This Row],[ ]]</f>
        <v>#N/A</v>
      </c>
      <c r="AK22" s="82" t="e">
        <f>VLOOKUP(Tabulka59121527333945515763[[#This Row],[Tým]],Tabulka591215273339455157[[Tým]:[Body]],2,FALSE)</f>
        <v>#N/A</v>
      </c>
      <c r="AL22" s="47" t="e">
        <f>Tabulka59121527333945515763[[#This Row],[Umístění]]</f>
        <v>#N/A</v>
      </c>
    </row>
    <row r="23" spans="2:42" ht="24.95" customHeight="1" x14ac:dyDescent="0.4">
      <c r="B23" s="6"/>
      <c r="C23" s="1" t="str">
        <f>IF(Tabulka17101325313743495561[[#This Row],[ ]]="","",IF(Tabulka17101325313743495561[[#This Row],[ ]]="NEÚČAST","",IF(OR(Tabulka17101325313743495561[Výsledný čas]="N",Tabulka17101325313743495561[Výsledný čas]="D"),$L$4-$L$5,_xlfn.RANK.EQ(Tabulka17101325313743495561[[#This Row],[ ]],Tabulka17101325313743495561[[ ]],1))))</f>
        <v/>
      </c>
      <c r="D23" s="14"/>
      <c r="E23" s="8"/>
      <c r="F23" s="8"/>
      <c r="G23" s="9" t="str">
        <f>IF(OR(Tabulka17101325313743495561[[#This Row],[LP]]="N",Tabulka17101325313743495561[[#This Row],[PP]]="N"),"N",IF(OR(Tabulka17101325313743495561[[#This Row],[LP]]="D",Tabulka17101325313743495561[[#This Row],[PP]]="D"),"D",IF(OR(Tabulka17101325313743495561[[#This Row],[LP]]="NEÚČAST",Tabulka17101325313743495561[[#This Row],[PP]]="NEÚČAST"),"NEÚČAST",IF(OR(Tabulka17101325313743495561[[#This Row],[LP]]="",Tabulka17101325313743495561[[#This Row],[PP]]=""),"",MAX(Tabulka17101325313743495561[[#This Row],[LP]:[PP]])))))</f>
        <v/>
      </c>
      <c r="H23" s="1">
        <f>COUNTIF(Tabulka17101325313743495561[[#This Row],[Tým]],"*")</f>
        <v>0</v>
      </c>
      <c r="I23" s="1">
        <f>COUNTIF(Tabulka17101325313743495561[[#This Row],[Výsledný čas]],"NEÚČAST")</f>
        <v>0</v>
      </c>
      <c r="J23" s="1" t="str">
        <f>IF(Tabulka17101325313743495561[[#This Row],[Výsledný čas]]="N",998,IF(Tabulka17101325313743495561[[#This Row],[Výsledný čas]]="D",998,IF(Tabulka17101325313743495561[[#This Row],[Výsledný čas]]="","",Tabulka17101325313743495561[[#This Row],[Výsledný čas]])))</f>
        <v/>
      </c>
      <c r="P23" s="10"/>
      <c r="Q23" s="8"/>
      <c r="R23" s="8"/>
      <c r="AB23" s="3"/>
      <c r="AC23" s="3"/>
      <c r="AL23" s="15"/>
    </row>
    <row r="24" spans="2:42" ht="24.95" customHeight="1" thickBot="1" x14ac:dyDescent="0.45">
      <c r="B24" s="11"/>
      <c r="C24" s="1" t="str">
        <f>IF(Tabulka17101325313743495561[[#This Row],[ ]]="","",IF(Tabulka17101325313743495561[[#This Row],[ ]]="NEÚČAST","",IF(OR(Tabulka17101325313743495561[Výsledný čas]="N",Tabulka17101325313743495561[Výsledný čas]="D"),$L$4-$L$5,_xlfn.RANK.EQ(Tabulka17101325313743495561[[#This Row],[ ]],Tabulka17101325313743495561[[ ]],1))))</f>
        <v/>
      </c>
      <c r="D24" s="7"/>
      <c r="E24" s="8"/>
      <c r="F24" s="8"/>
      <c r="G24" s="9" t="str">
        <f>IF(OR(Tabulka17101325313743495561[[#This Row],[LP]]="N",Tabulka17101325313743495561[[#This Row],[PP]]="N"),"N",IF(OR(Tabulka17101325313743495561[[#This Row],[LP]]="D",Tabulka17101325313743495561[[#This Row],[PP]]="D"),"D",IF(OR(Tabulka17101325313743495561[[#This Row],[LP]]="NEÚČAST",Tabulka17101325313743495561[[#This Row],[PP]]="NEÚČAST"),"NEÚČAST",IF(OR(Tabulka17101325313743495561[[#This Row],[LP]]="",Tabulka17101325313743495561[[#This Row],[PP]]=""),"",MAX(Tabulka17101325313743495561[[#This Row],[LP]:[PP]])))))</f>
        <v/>
      </c>
      <c r="H24" s="1">
        <f>COUNTIF(Tabulka17101325313743495561[[#This Row],[Tým]],"*")</f>
        <v>0</v>
      </c>
      <c r="I24" s="1">
        <f>COUNTIF(Tabulka17101325313743495561[[#This Row],[Výsledný čas]],"NEÚČAST")</f>
        <v>0</v>
      </c>
      <c r="J24" s="1" t="str">
        <f>IF(Tabulka17101325313743495561[[#This Row],[Výsledný čas]]="N",998,IF(Tabulka17101325313743495561[[#This Row],[Výsledný čas]]="D",998,IF(Tabulka17101325313743495561[[#This Row],[Výsledný čas]]="","",Tabulka17101325313743495561[[#This Row],[Výsledný čas]])))</f>
        <v/>
      </c>
      <c r="N24" s="68"/>
      <c r="P24" s="7"/>
      <c r="Q24" s="8"/>
      <c r="R24" s="8"/>
      <c r="AB24" s="3"/>
      <c r="AC24" s="3"/>
      <c r="AL24" s="15"/>
    </row>
    <row r="25" spans="2:42" ht="24.95" customHeight="1" x14ac:dyDescent="0.4">
      <c r="B25" s="15"/>
      <c r="C25" s="1" t="str">
        <f>IF(Tabulka17101325313743495561[[#This Row],[ ]]="","",IF(Tabulka17101325313743495561[[#This Row],[ ]]="NEÚČAST","",IF(OR(Tabulka17101325313743495561[Výsledný čas]="N",Tabulka17101325313743495561[Výsledný čas]="D"),$L$4-$L$5,_xlfn.RANK.EQ(Tabulka17101325313743495561[[#This Row],[ ]],Tabulka17101325313743495561[[ ]],1))))</f>
        <v/>
      </c>
      <c r="D25" s="16"/>
      <c r="G25" s="9" t="str">
        <f>IF(OR(Tabulka17101325313743495561[[#This Row],[LP]]="N",Tabulka17101325313743495561[[#This Row],[PP]]="N"),"N",IF(OR(Tabulka17101325313743495561[[#This Row],[LP]]="D",Tabulka17101325313743495561[[#This Row],[PP]]="D"),"D",IF(OR(Tabulka17101325313743495561[[#This Row],[LP]]="NEÚČAST",Tabulka17101325313743495561[[#This Row],[PP]]="NEÚČAST"),"NEÚČAST",IF(OR(Tabulka17101325313743495561[[#This Row],[LP]]="",Tabulka17101325313743495561[[#This Row],[PP]]=""),"",MAX(Tabulka17101325313743495561[[#This Row],[LP]:[PP]])))))</f>
        <v/>
      </c>
      <c r="H25" s="1">
        <f>COUNTIF(Tabulka17101325313743495561[[#This Row],[Tým]],"*")</f>
        <v>0</v>
      </c>
      <c r="I25" s="1">
        <f>COUNTIF(Tabulka17101325313743495561[[#This Row],[Výsledný čas]],"NEÚČAST")</f>
        <v>0</v>
      </c>
      <c r="J25" s="1" t="str">
        <f>IF(Tabulka17101325313743495561[[#This Row],[Výsledný čas]]="N",998,IF(Tabulka17101325313743495561[[#This Row],[Výsledný čas]]="D",998,IF(Tabulka17101325313743495561[[#This Row],[Výsledný čas]]="","",Tabulka17101325313743495561[[#This Row],[Výsledný čas]])))</f>
        <v/>
      </c>
      <c r="N25" s="70"/>
      <c r="P25" s="7"/>
      <c r="Q25" s="8"/>
      <c r="R25" s="8"/>
      <c r="Z25" s="308" t="str">
        <f>N2</f>
        <v xml:space="preserve">Výsledky - Soutěže 9. kola NHHL 25.8. 2023 Štěpánkovice - ŽENY </v>
      </c>
      <c r="AA25" s="309"/>
      <c r="AB25" s="309"/>
      <c r="AC25" s="309"/>
      <c r="AD25" s="309"/>
      <c r="AE25" s="309"/>
      <c r="AF25" s="310"/>
      <c r="AH25" s="308" t="s">
        <v>136</v>
      </c>
      <c r="AI25" s="309"/>
      <c r="AJ25" s="309"/>
      <c r="AK25" s="310"/>
      <c r="AL25" s="15"/>
    </row>
    <row r="26" spans="2:42" ht="24.95" customHeight="1" thickBot="1" x14ac:dyDescent="0.45">
      <c r="D26" s="16"/>
      <c r="P26" s="7"/>
      <c r="Q26" s="8"/>
      <c r="R26" s="8"/>
      <c r="Z26" s="58" t="s">
        <v>1</v>
      </c>
      <c r="AA26" s="59" t="s">
        <v>2</v>
      </c>
      <c r="AB26" s="59" t="s">
        <v>3</v>
      </c>
      <c r="AC26" s="59" t="s">
        <v>4</v>
      </c>
      <c r="AD26" s="59" t="s">
        <v>5</v>
      </c>
      <c r="AE26" s="59" t="s">
        <v>27</v>
      </c>
      <c r="AF26" s="60" t="s">
        <v>7</v>
      </c>
      <c r="AH26" s="58" t="s">
        <v>1</v>
      </c>
      <c r="AI26" s="59" t="s">
        <v>2</v>
      </c>
      <c r="AJ26" s="59" t="s">
        <v>7</v>
      </c>
      <c r="AK26" s="29" t="s">
        <v>27</v>
      </c>
      <c r="AL26" s="94" t="s">
        <v>73</v>
      </c>
      <c r="AM26" s="15"/>
      <c r="AP26" s="1"/>
    </row>
    <row r="27" spans="2:42" ht="24.95" customHeight="1" x14ac:dyDescent="0.4">
      <c r="D27" s="16"/>
      <c r="P27" s="7"/>
      <c r="Q27" s="8"/>
      <c r="R27" s="8"/>
      <c r="Z27" s="77" t="e">
        <f>IF(OR(Tabulka381114228344046525864[Výsledný čas]="N",Tabulka381114228344046525864[Výsledný čas]="D",Tabulka381114228344046525864[Výsledný čas]="NEÚČAST"),Uvod!$E$6,_xlfn.RANK.EQ(Tabulka381114228344046525864[[#This Row],[ ]],Tabulka381114228344046525864[[ ]],1))</f>
        <v>#N/A</v>
      </c>
      <c r="AA27" s="78" t="s">
        <v>34</v>
      </c>
      <c r="AB27" s="79" t="e">
        <f>VLOOKUP(Tabulka381114228344046525864[[#This Row],[Tým]],Tabulka171013630364248546066[[Tým]:[ ]],2,FALSE)</f>
        <v>#N/A</v>
      </c>
      <c r="AC27" s="79" t="e">
        <f>VLOOKUP(Tabulka381114228344046525864[[#This Row],[Tým]],Tabulka171013630364248546066[[Tým]:[ ]],3,FALSE)</f>
        <v>#N/A</v>
      </c>
      <c r="AD27" s="80" t="e">
        <f>VLOOKUP(Tabulka381114228344046525864[[#This Row],[Tým]],Tabulka171013630364248546066[[Tým]:[ ]],4,FALSE)</f>
        <v>#N/A</v>
      </c>
      <c r="AE27" s="80" t="e">
        <f>VLOOKUP(Tabulka381114228344046525864[[#This Row],[Tým]],Tabulka171013630364248546066[[Tým]:[ ]],7,FALSE)</f>
        <v>#N/A</v>
      </c>
      <c r="AF27" s="81" t="e">
        <f>IF(Tabulka381114228344046525864[[#This Row],[Výsledný čas]]="N",5,IF(Tabulka381114228344046525864[[#This Row],[Výsledný čas]]="D",0,IF(Tabulka381114228344046525864[[#This Row],[Výsledný čas]]="NEÚČAST",0,Tabulka8[[#Totals],[Týmy ženy]]+6-Tabulka381114228344046525864[[#This Row],[Umístění]])))</f>
        <v>#N/A</v>
      </c>
      <c r="AH27" s="77" t="e">
        <f>_xlfn.RANK.EQ(Tabulka591215329354147535965[[#This Row],[Body]],Tabulka591215329354147535965[Body],0)</f>
        <v>#N/A</v>
      </c>
      <c r="AI27" s="78" t="s">
        <v>34</v>
      </c>
      <c r="AJ27" s="81" t="e">
        <f>VLOOKUP(Tabulka591215329354147535965[[#This Row],[Tým]],Tabulka381114228344046525864[[Tým]:[Body]],6,FALSE)+Tabulka591215329354147535965[[#This Row],[ ]]</f>
        <v>#N/A</v>
      </c>
      <c r="AK27" s="75" t="e">
        <f>VLOOKUP(Tabulka591215329354147535965[[#This Row],[Tým]],Tabulka5912153293541475359[[Tým]:[Body]],2,FALSE)</f>
        <v>#N/A</v>
      </c>
      <c r="AL27" s="92" t="e">
        <f>Tabulka591215329354147535965[[#This Row],[Umístění]]</f>
        <v>#N/A</v>
      </c>
      <c r="AM27" s="15"/>
      <c r="AP27" s="1"/>
    </row>
    <row r="28" spans="2:42" ht="24.95" customHeight="1" x14ac:dyDescent="0.4">
      <c r="D28" s="16"/>
      <c r="P28" s="7"/>
      <c r="Q28" s="8"/>
      <c r="R28" s="8"/>
      <c r="Z28" s="31" t="e">
        <f>IF(OR(Tabulka381114228344046525864[Výsledný čas]="N",Tabulka381114228344046525864[Výsledný čas]="D",Tabulka381114228344046525864[Výsledný čas]="NEÚČAST"),Uvod!$E$6,_xlfn.RANK.EQ(Tabulka381114228344046525864[[#This Row],[ ]],Tabulka381114228344046525864[[ ]],1))</f>
        <v>#N/A</v>
      </c>
      <c r="AA28" s="51" t="s">
        <v>35</v>
      </c>
      <c r="AB28" s="44" t="e">
        <f>VLOOKUP(Tabulka381114228344046525864[[#This Row],[Tým]],Tabulka171013630364248546066[[Tým]:[ ]],2,FALSE)</f>
        <v>#N/A</v>
      </c>
      <c r="AC28" s="44" t="e">
        <f>VLOOKUP(Tabulka381114228344046525864[[#This Row],[Tým]],Tabulka171013630364248546066[[Tým]:[ ]],3,FALSE)</f>
        <v>#N/A</v>
      </c>
      <c r="AD28" s="25" t="e">
        <f>VLOOKUP(Tabulka381114228344046525864[[#This Row],[Tým]],Tabulka171013630364248546066[[Tým]:[ ]],4,FALSE)</f>
        <v>#N/A</v>
      </c>
      <c r="AE28" s="25" t="e">
        <f>VLOOKUP(Tabulka381114228344046525864[[#This Row],[Tým]],Tabulka171013630364248546066[[Tým]:[ ]],7,FALSE)</f>
        <v>#N/A</v>
      </c>
      <c r="AF28" s="29" t="e">
        <f>IF(Tabulka381114228344046525864[[#This Row],[Výsledný čas]]="N",5,IF(Tabulka381114228344046525864[[#This Row],[Výsledný čas]]="D",0,IF(Tabulka381114228344046525864[[#This Row],[Výsledný čas]]="NEÚČAST",0,Tabulka8[[#Totals],[Týmy ženy]]+6-Tabulka381114228344046525864[[#This Row],[Umístění]])))</f>
        <v>#N/A</v>
      </c>
      <c r="AH28" s="31" t="e">
        <f>_xlfn.RANK.EQ(Tabulka591215329354147535965[[#This Row],[Body]],Tabulka591215329354147535965[Body],0)</f>
        <v>#N/A</v>
      </c>
      <c r="AI28" s="51" t="s">
        <v>35</v>
      </c>
      <c r="AJ28" s="29" t="e">
        <f>VLOOKUP(Tabulka591215329354147535965[[#This Row],[Tým]],Tabulka381114228344046525864[[Tým]:[Body]],6,FALSE)+Tabulka591215329354147535965[[#This Row],[ ]]</f>
        <v>#N/A</v>
      </c>
      <c r="AK28" s="75" t="e">
        <f>VLOOKUP(Tabulka591215329354147535965[[#This Row],[Tým]],Tabulka5912153293541475359[[Tým]:[Body]],2,FALSE)</f>
        <v>#N/A</v>
      </c>
      <c r="AL28" s="47" t="e">
        <f>Tabulka591215329354147535965[[#This Row],[Umístění]]</f>
        <v>#N/A</v>
      </c>
      <c r="AM28" s="15"/>
      <c r="AP28" s="1"/>
    </row>
    <row r="29" spans="2:42" ht="24.95" customHeight="1" x14ac:dyDescent="0.4">
      <c r="D29" s="16"/>
      <c r="N29" s="68"/>
      <c r="P29" s="7"/>
      <c r="Q29" s="8"/>
      <c r="R29" s="8"/>
      <c r="Z29" s="31" t="e">
        <f>IF(OR(Tabulka381114228344046525864[Výsledný čas]="N",Tabulka381114228344046525864[Výsledný čas]="D",Tabulka381114228344046525864[Výsledný čas]="NEÚČAST"),Uvod!$E$6,_xlfn.RANK.EQ(Tabulka381114228344046525864[[#This Row],[ ]],Tabulka381114228344046525864[[ ]],1))</f>
        <v>#N/A</v>
      </c>
      <c r="AA29" s="51" t="s">
        <v>22</v>
      </c>
      <c r="AB29" s="44" t="e">
        <f>VLOOKUP(Tabulka381114228344046525864[[#This Row],[Tým]],Tabulka171013630364248546066[[Tým]:[ ]],2,FALSE)</f>
        <v>#N/A</v>
      </c>
      <c r="AC29" s="44" t="e">
        <f>VLOOKUP(Tabulka381114228344046525864[[#This Row],[Tým]],Tabulka171013630364248546066[[Tým]:[ ]],3,FALSE)</f>
        <v>#N/A</v>
      </c>
      <c r="AD29" s="25" t="e">
        <f>VLOOKUP(Tabulka381114228344046525864[[#This Row],[Tým]],Tabulka171013630364248546066[[Tým]:[ ]],4,FALSE)</f>
        <v>#N/A</v>
      </c>
      <c r="AE29" s="25" t="e">
        <f>VLOOKUP(Tabulka381114228344046525864[[#This Row],[Tým]],Tabulka171013630364248546066[[Tým]:[ ]],7,FALSE)</f>
        <v>#N/A</v>
      </c>
      <c r="AF29" s="29" t="e">
        <f>IF(Tabulka381114228344046525864[[#This Row],[Výsledný čas]]="N",5,IF(Tabulka381114228344046525864[[#This Row],[Výsledný čas]]="D",0,IF(Tabulka381114228344046525864[[#This Row],[Výsledný čas]]="NEÚČAST",0,Tabulka8[[#Totals],[Týmy ženy]]+6-Tabulka381114228344046525864[[#This Row],[Umístění]])))</f>
        <v>#N/A</v>
      </c>
      <c r="AH29" s="31" t="e">
        <f>_xlfn.RANK.EQ(Tabulka591215329354147535965[[#This Row],[Body]],Tabulka591215329354147535965[Body],0)</f>
        <v>#N/A</v>
      </c>
      <c r="AI29" s="51" t="s">
        <v>22</v>
      </c>
      <c r="AJ29" s="29" t="e">
        <f>VLOOKUP(Tabulka591215329354147535965[[#This Row],[Tým]],Tabulka381114228344046525864[[Tým]:[Body]],6,FALSE)+Tabulka591215329354147535965[[#This Row],[ ]]</f>
        <v>#N/A</v>
      </c>
      <c r="AK29" s="75" t="e">
        <f>VLOOKUP(Tabulka591215329354147535965[[#This Row],[Tým]],Tabulka5912153293541475359[[Tým]:[Body]],2,FALSE)</f>
        <v>#N/A</v>
      </c>
      <c r="AL29" s="47" t="e">
        <f>Tabulka591215329354147535965[[#This Row],[Umístění]]</f>
        <v>#N/A</v>
      </c>
      <c r="AP29" s="1"/>
    </row>
    <row r="30" spans="2:42" ht="24.95" customHeight="1" thickBot="1" x14ac:dyDescent="0.45">
      <c r="D30" s="16"/>
      <c r="N30" s="68"/>
      <c r="P30" s="7"/>
      <c r="Q30" s="8"/>
      <c r="R30" s="8"/>
      <c r="Z30" s="31" t="e">
        <f>IF(OR(Tabulka381114228344046525864[Výsledný čas]="N",Tabulka381114228344046525864[Výsledný čas]="D",Tabulka381114228344046525864[Výsledný čas]="NEÚČAST"),Uvod!$E$6,_xlfn.RANK.EQ(Tabulka381114228344046525864[[#This Row],[ ]],Tabulka381114228344046525864[[ ]],1))</f>
        <v>#N/A</v>
      </c>
      <c r="AA30" s="51" t="s">
        <v>21</v>
      </c>
      <c r="AB30" s="44" t="e">
        <f>VLOOKUP(Tabulka381114228344046525864[[#This Row],[Tým]],Tabulka171013630364248546066[[Tým]:[ ]],2,FALSE)</f>
        <v>#N/A</v>
      </c>
      <c r="AC30" s="44" t="e">
        <f>VLOOKUP(Tabulka381114228344046525864[[#This Row],[Tým]],Tabulka171013630364248546066[[Tým]:[ ]],3,FALSE)</f>
        <v>#N/A</v>
      </c>
      <c r="AD30" s="25" t="e">
        <f>VLOOKUP(Tabulka381114228344046525864[[#This Row],[Tým]],Tabulka171013630364248546066[[Tým]:[ ]],4,FALSE)</f>
        <v>#N/A</v>
      </c>
      <c r="AE30" s="25" t="e">
        <f>VLOOKUP(Tabulka381114228344046525864[[#This Row],[Tým]],Tabulka171013630364248546066[[Tým]:[ ]],7,FALSE)</f>
        <v>#N/A</v>
      </c>
      <c r="AF30" s="29" t="e">
        <f>IF(Tabulka381114228344046525864[[#This Row],[Výsledný čas]]="N",5,IF(Tabulka381114228344046525864[[#This Row],[Výsledný čas]]="D",0,IF(Tabulka381114228344046525864[[#This Row],[Výsledný čas]]="NEÚČAST",0,Tabulka8[[#Totals],[Týmy ženy]]+6-Tabulka381114228344046525864[[#This Row],[Umístění]])))</f>
        <v>#N/A</v>
      </c>
      <c r="AH30" s="31" t="e">
        <f>_xlfn.RANK.EQ(Tabulka591215329354147535965[[#This Row],[Body]],Tabulka591215329354147535965[Body],0)</f>
        <v>#N/A</v>
      </c>
      <c r="AI30" s="51" t="s">
        <v>21</v>
      </c>
      <c r="AJ30" s="29" t="e">
        <f>VLOOKUP(Tabulka591215329354147535965[[#This Row],[Tým]],Tabulka381114228344046525864[[Tým]:[Body]],6,FALSE)+Tabulka591215329354147535965[[#This Row],[ ]]</f>
        <v>#N/A</v>
      </c>
      <c r="AK30" s="76" t="e">
        <f>VLOOKUP(Tabulka591215329354147535965[[#This Row],[Tým]],Tabulka5912153293541475359[[Tým]:[Body]],2,FALSE)</f>
        <v>#N/A</v>
      </c>
      <c r="AL30" s="47" t="e">
        <f>Tabulka591215329354147535965[[#This Row],[Umístění]]</f>
        <v>#N/A</v>
      </c>
      <c r="AP30" s="1"/>
    </row>
    <row r="31" spans="2:42" ht="24.95" customHeight="1" x14ac:dyDescent="0.4">
      <c r="D31" s="16"/>
      <c r="P31" s="7"/>
      <c r="Q31" s="8"/>
      <c r="R31" s="8"/>
      <c r="Z31" s="31" t="e">
        <f>IF(OR(Tabulka381114228344046525864[Výsledný čas]="N",Tabulka381114228344046525864[Výsledný čas]="D",Tabulka381114228344046525864[Výsledný čas]="NEÚČAST"),Uvod!$E$6,_xlfn.RANK.EQ(Tabulka381114228344046525864[[#This Row],[ ]],Tabulka381114228344046525864[[ ]],1))</f>
        <v>#N/A</v>
      </c>
      <c r="AA31" s="51" t="s">
        <v>23</v>
      </c>
      <c r="AB31" s="44" t="e">
        <f>VLOOKUP(Tabulka381114228344046525864[[#This Row],[Tým]],Tabulka171013630364248546066[[Tým]:[ ]],2,FALSE)</f>
        <v>#N/A</v>
      </c>
      <c r="AC31" s="44" t="e">
        <f>VLOOKUP(Tabulka381114228344046525864[[#This Row],[Tým]],Tabulka171013630364248546066[[Tým]:[ ]],3,FALSE)</f>
        <v>#N/A</v>
      </c>
      <c r="AD31" s="25" t="e">
        <f>VLOOKUP(Tabulka381114228344046525864[[#This Row],[Tým]],Tabulka171013630364248546066[[Tým]:[ ]],4,FALSE)</f>
        <v>#N/A</v>
      </c>
      <c r="AE31" s="25" t="e">
        <f>VLOOKUP(Tabulka381114228344046525864[[#This Row],[Tým]],Tabulka171013630364248546066[[Tým]:[ ]],7,FALSE)</f>
        <v>#N/A</v>
      </c>
      <c r="AF31" s="29" t="e">
        <f>IF(Tabulka381114228344046525864[[#This Row],[Výsledný čas]]="N",5,IF(Tabulka381114228344046525864[[#This Row],[Výsledný čas]]="D",0,IF(Tabulka381114228344046525864[[#This Row],[Výsledný čas]]="NEÚČAST",0,Tabulka8[[#Totals],[Týmy ženy]]+6-Tabulka381114228344046525864[[#This Row],[Umístění]])))</f>
        <v>#N/A</v>
      </c>
      <c r="AH31" s="31" t="e">
        <f>_xlfn.RANK.EQ(Tabulka591215329354147535965[[#This Row],[Body]],Tabulka591215329354147535965[Body],0)</f>
        <v>#N/A</v>
      </c>
      <c r="AI31" s="51" t="s">
        <v>23</v>
      </c>
      <c r="AJ31" s="29" t="e">
        <f>VLOOKUP(Tabulka591215329354147535965[[#This Row],[Tým]],Tabulka381114228344046525864[[Tým]:[Body]],6,FALSE)+Tabulka591215329354147535965[[#This Row],[ ]]</f>
        <v>#N/A</v>
      </c>
      <c r="AK31" s="82" t="e">
        <f>VLOOKUP(Tabulka591215329354147535965[[#This Row],[Tým]],Tabulka5912153293541475359[[Tým]:[Body]],2,FALSE)</f>
        <v>#N/A</v>
      </c>
      <c r="AL31" s="47" t="e">
        <f>Tabulka591215329354147535965[[#This Row],[Umístění]]</f>
        <v>#N/A</v>
      </c>
      <c r="AP31" s="1"/>
    </row>
    <row r="32" spans="2:42" ht="24.95" customHeight="1" x14ac:dyDescent="0.4">
      <c r="D32" s="16"/>
      <c r="P32" s="7"/>
      <c r="Q32" s="8"/>
      <c r="R32" s="8"/>
      <c r="Z32" s="31" t="e">
        <f>IF(OR(Tabulka381114228344046525864[Výsledný čas]="N",Tabulka381114228344046525864[Výsledný čas]="D",Tabulka381114228344046525864[Výsledný čas]="NEÚČAST"),Uvod!$E$6,_xlfn.RANK.EQ(Tabulka381114228344046525864[[#This Row],[ ]],Tabulka381114228344046525864[[ ]],1))</f>
        <v>#N/A</v>
      </c>
      <c r="AA32" s="51" t="s">
        <v>19</v>
      </c>
      <c r="AB32" s="44" t="e">
        <f>VLOOKUP(Tabulka381114228344046525864[[#This Row],[Tým]],Tabulka171013630364248546066[[Tým]:[ ]],2,FALSE)</f>
        <v>#N/A</v>
      </c>
      <c r="AC32" s="44" t="e">
        <f>VLOOKUP(Tabulka381114228344046525864[[#This Row],[Tým]],Tabulka171013630364248546066[[Tým]:[ ]],3,FALSE)</f>
        <v>#N/A</v>
      </c>
      <c r="AD32" s="25" t="e">
        <f>VLOOKUP(Tabulka381114228344046525864[[#This Row],[Tým]],Tabulka171013630364248546066[[Tým]:[ ]],4,FALSE)</f>
        <v>#N/A</v>
      </c>
      <c r="AE32" s="25" t="e">
        <f>VLOOKUP(Tabulka381114228344046525864[[#This Row],[Tým]],Tabulka171013630364248546066[[Tým]:[ ]],7,FALSE)</f>
        <v>#N/A</v>
      </c>
      <c r="AF32" s="29" t="e">
        <f>IF(Tabulka381114228344046525864[[#This Row],[Výsledný čas]]="N",5,IF(Tabulka381114228344046525864[[#This Row],[Výsledný čas]]="D",0,IF(Tabulka381114228344046525864[[#This Row],[Výsledný čas]]="NEÚČAST",0,Tabulka8[[#Totals],[Týmy ženy]]+6-Tabulka381114228344046525864[[#This Row],[Umístění]])))</f>
        <v>#N/A</v>
      </c>
      <c r="AH32" s="31" t="e">
        <f>_xlfn.RANK.EQ(Tabulka591215329354147535965[[#This Row],[Body]],Tabulka591215329354147535965[Body],0)</f>
        <v>#N/A</v>
      </c>
      <c r="AI32" s="51" t="s">
        <v>19</v>
      </c>
      <c r="AJ32" s="29" t="e">
        <f>VLOOKUP(Tabulka591215329354147535965[[#This Row],[Tým]],Tabulka381114228344046525864[[Tým]:[Body]],6,FALSE)+Tabulka591215329354147535965[[#This Row],[ ]]</f>
        <v>#N/A</v>
      </c>
      <c r="AK32" s="82" t="e">
        <f>VLOOKUP(Tabulka591215329354147535965[[#This Row],[Tým]],Tabulka5912153293541475359[[Tým]:[Body]],2,FALSE)</f>
        <v>#N/A</v>
      </c>
      <c r="AL32" s="47" t="e">
        <f>Tabulka591215329354147535965[[#This Row],[Umístění]]</f>
        <v>#N/A</v>
      </c>
      <c r="AP32" s="1"/>
    </row>
    <row r="33" spans="4:42" ht="24.95" customHeight="1" x14ac:dyDescent="0.4">
      <c r="D33" s="16"/>
      <c r="P33" s="7"/>
      <c r="Q33" s="8"/>
      <c r="R33" s="8"/>
      <c r="Z33" s="31" t="e">
        <f>IF(OR(Tabulka381114228344046525864[Výsledný čas]="N",Tabulka381114228344046525864[Výsledný čas]="D",Tabulka381114228344046525864[Výsledný čas]="NEÚČAST"),Uvod!$E$6,_xlfn.RANK.EQ(Tabulka381114228344046525864[[#This Row],[ ]],Tabulka381114228344046525864[[ ]],1))</f>
        <v>#N/A</v>
      </c>
      <c r="AA33" s="51" t="s">
        <v>15</v>
      </c>
      <c r="AB33" s="44" t="e">
        <f>VLOOKUP(Tabulka381114228344046525864[[#This Row],[Tým]],Tabulka171013630364248546066[[Tým]:[ ]],2,FALSE)</f>
        <v>#N/A</v>
      </c>
      <c r="AC33" s="44" t="e">
        <f>VLOOKUP(Tabulka381114228344046525864[[#This Row],[Tým]],Tabulka171013630364248546066[[Tým]:[ ]],3,FALSE)</f>
        <v>#N/A</v>
      </c>
      <c r="AD33" s="25" t="e">
        <f>VLOOKUP(Tabulka381114228344046525864[[#This Row],[Tým]],Tabulka171013630364248546066[[Tým]:[ ]],4,FALSE)</f>
        <v>#N/A</v>
      </c>
      <c r="AE33" s="25" t="e">
        <f>VLOOKUP(Tabulka381114228344046525864[[#This Row],[Tým]],Tabulka171013630364248546066[[Tým]:[ ]],7,FALSE)</f>
        <v>#N/A</v>
      </c>
      <c r="AF33" s="29" t="e">
        <f>IF(Tabulka381114228344046525864[[#This Row],[Výsledný čas]]="N",5,IF(Tabulka381114228344046525864[[#This Row],[Výsledný čas]]="D",0,IF(Tabulka381114228344046525864[[#This Row],[Výsledný čas]]="NEÚČAST",0,Tabulka8[[#Totals],[Týmy ženy]]+6-Tabulka381114228344046525864[[#This Row],[Umístění]])))</f>
        <v>#N/A</v>
      </c>
      <c r="AH33" s="31" t="e">
        <f>_xlfn.RANK.EQ(Tabulka591215329354147535965[[#This Row],[Body]],Tabulka591215329354147535965[Body],0)</f>
        <v>#N/A</v>
      </c>
      <c r="AI33" s="51" t="s">
        <v>15</v>
      </c>
      <c r="AJ33" s="29" t="e">
        <f>VLOOKUP(Tabulka591215329354147535965[[#This Row],[Tým]],Tabulka381114228344046525864[[Tým]:[Body]],6,FALSE)+Tabulka591215329354147535965[[#This Row],[ ]]</f>
        <v>#N/A</v>
      </c>
      <c r="AK33" s="82" t="e">
        <f>VLOOKUP(Tabulka591215329354147535965[[#This Row],[Tým]],Tabulka5912153293541475359[[Tým]:[Body]],2,FALSE)</f>
        <v>#N/A</v>
      </c>
      <c r="AL33" s="47" t="e">
        <f>Tabulka591215329354147535965[[#This Row],[Umístění]]</f>
        <v>#N/A</v>
      </c>
      <c r="AP33" s="1"/>
    </row>
    <row r="34" spans="4:42" ht="24.95" customHeight="1" x14ac:dyDescent="0.4">
      <c r="D34" s="16"/>
      <c r="N34" s="70"/>
      <c r="P34" s="7"/>
      <c r="Q34" s="8"/>
      <c r="R34" s="8"/>
      <c r="Z34" s="31" t="e">
        <f>IF(OR(Tabulka381114228344046525864[Výsledný čas]="N",Tabulka381114228344046525864[Výsledný čas]="D",Tabulka381114228344046525864[Výsledný čas]="NEÚČAST"),Uvod!$E$6,_xlfn.RANK.EQ(Tabulka381114228344046525864[[#This Row],[ ]],Tabulka381114228344046525864[[ ]],1))</f>
        <v>#N/A</v>
      </c>
      <c r="AA34" s="51" t="s">
        <v>16</v>
      </c>
      <c r="AB34" s="44" t="e">
        <f>VLOOKUP(Tabulka381114228344046525864[[#This Row],[Tým]],Tabulka171013630364248546066[[Tým]:[ ]],2,FALSE)</f>
        <v>#N/A</v>
      </c>
      <c r="AC34" s="44" t="e">
        <f>VLOOKUP(Tabulka381114228344046525864[[#This Row],[Tým]],Tabulka171013630364248546066[[Tým]:[ ]],3,FALSE)</f>
        <v>#N/A</v>
      </c>
      <c r="AD34" s="25" t="e">
        <f>VLOOKUP(Tabulka381114228344046525864[[#This Row],[Tým]],Tabulka171013630364248546066[[Tým]:[ ]],4,FALSE)</f>
        <v>#N/A</v>
      </c>
      <c r="AE34" s="25" t="e">
        <f>VLOOKUP(Tabulka381114228344046525864[[#This Row],[Tým]],Tabulka171013630364248546066[[Tým]:[ ]],7,FALSE)</f>
        <v>#N/A</v>
      </c>
      <c r="AF34" s="29" t="e">
        <f>IF(Tabulka381114228344046525864[[#This Row],[Výsledný čas]]="N",5,IF(Tabulka381114228344046525864[[#This Row],[Výsledný čas]]="D",0,IF(Tabulka381114228344046525864[[#This Row],[Výsledný čas]]="NEÚČAST",0,Tabulka8[[#Totals],[Týmy ženy]]+6-Tabulka381114228344046525864[[#This Row],[Umístění]])))</f>
        <v>#N/A</v>
      </c>
      <c r="AH34" s="31" t="e">
        <f>_xlfn.RANK.EQ(Tabulka591215329354147535965[[#This Row],[Body]],Tabulka591215329354147535965[Body],0)</f>
        <v>#N/A</v>
      </c>
      <c r="AI34" s="51" t="s">
        <v>16</v>
      </c>
      <c r="AJ34" s="29" t="e">
        <f>VLOOKUP(Tabulka591215329354147535965[[#This Row],[Tým]],Tabulka381114228344046525864[[Tým]:[Body]],6,FALSE)+Tabulka591215329354147535965[[#This Row],[ ]]</f>
        <v>#N/A</v>
      </c>
      <c r="AK34" s="82" t="e">
        <f>VLOOKUP(Tabulka591215329354147535965[[#This Row],[Tým]],Tabulka5912153293541475359[[Tým]:[Body]],2,FALSE)</f>
        <v>#N/A</v>
      </c>
      <c r="AL34" s="47" t="e">
        <f>Tabulka591215329354147535965[[#This Row],[Umístění]]</f>
        <v>#N/A</v>
      </c>
      <c r="AP34" s="1"/>
    </row>
    <row r="35" spans="4:42" ht="24.95" customHeight="1" x14ac:dyDescent="0.4">
      <c r="D35" s="16"/>
      <c r="N35" s="70"/>
      <c r="P35" s="7"/>
      <c r="Q35" s="8"/>
      <c r="R35" s="8"/>
      <c r="Z35" s="31" t="e">
        <f>IF(OR(Tabulka381114228344046525864[Výsledný čas]="N",Tabulka381114228344046525864[Výsledný čas]="D",Tabulka381114228344046525864[Výsledný čas]="NEÚČAST"),Uvod!$E$6,_xlfn.RANK.EQ(Tabulka381114228344046525864[[#This Row],[ ]],Tabulka381114228344046525864[[ ]],1))</f>
        <v>#N/A</v>
      </c>
      <c r="AA35" s="51" t="s">
        <v>24</v>
      </c>
      <c r="AB35" s="44" t="e">
        <f>VLOOKUP(Tabulka381114228344046525864[[#This Row],[Tým]],Tabulka171013630364248546066[[Tým]:[ ]],2,FALSE)</f>
        <v>#N/A</v>
      </c>
      <c r="AC35" s="44" t="e">
        <f>VLOOKUP(Tabulka381114228344046525864[[#This Row],[Tým]],Tabulka171013630364248546066[[Tým]:[ ]],3,FALSE)</f>
        <v>#N/A</v>
      </c>
      <c r="AD35" s="25" t="e">
        <f>VLOOKUP(Tabulka381114228344046525864[[#This Row],[Tým]],Tabulka171013630364248546066[[Tým]:[ ]],4,FALSE)</f>
        <v>#N/A</v>
      </c>
      <c r="AE35" s="25" t="e">
        <f>VLOOKUP(Tabulka381114228344046525864[[#This Row],[Tým]],Tabulka171013630364248546066[[Tým]:[ ]],7,FALSE)</f>
        <v>#N/A</v>
      </c>
      <c r="AF35" s="29" t="e">
        <f>IF(Tabulka381114228344046525864[[#This Row],[Výsledný čas]]="N",5,IF(Tabulka381114228344046525864[[#This Row],[Výsledný čas]]="D",0,IF(Tabulka381114228344046525864[[#This Row],[Výsledný čas]]="NEÚČAST",0,Tabulka8[[#Totals],[Týmy ženy]]+6-Tabulka381114228344046525864[[#This Row],[Umístění]])))</f>
        <v>#N/A</v>
      </c>
      <c r="AH35" s="31" t="e">
        <f>_xlfn.RANK.EQ(Tabulka591215329354147535965[[#This Row],[Body]],Tabulka591215329354147535965[Body],0)</f>
        <v>#N/A</v>
      </c>
      <c r="AI35" s="51" t="s">
        <v>24</v>
      </c>
      <c r="AJ35" s="29" t="e">
        <f>VLOOKUP(Tabulka591215329354147535965[[#This Row],[Tým]],Tabulka381114228344046525864[[Tým]:[Body]],6,FALSE)+Tabulka591215329354147535965[[#This Row],[ ]]</f>
        <v>#N/A</v>
      </c>
      <c r="AK35" s="82" t="e">
        <f>VLOOKUP(Tabulka591215329354147535965[[#This Row],[Tým]],Tabulka5912153293541475359[[Tým]:[Body]],2,FALSE)</f>
        <v>#N/A</v>
      </c>
      <c r="AL35" s="47" t="e">
        <f>Tabulka591215329354147535965[[#This Row],[Umístění]]</f>
        <v>#N/A</v>
      </c>
      <c r="AP35" s="1"/>
    </row>
    <row r="36" spans="4:42" ht="24.95" customHeight="1" thickBot="1" x14ac:dyDescent="0.45">
      <c r="D36" s="16"/>
      <c r="P36" s="7"/>
      <c r="Q36" s="8"/>
      <c r="R36" s="8"/>
      <c r="Z36" s="33" t="e">
        <f>IF(OR(Tabulka381114228344046525864[Výsledný čas]="N",Tabulka381114228344046525864[Výsledný čas]="D",Tabulka381114228344046525864[Výsledný čas]="NEÚČAST"),Uvod!$E$6,_xlfn.RANK.EQ(Tabulka381114228344046525864[[#This Row],[ ]],Tabulka381114228344046525864[[ ]],1))</f>
        <v>#N/A</v>
      </c>
      <c r="AA36" s="62" t="s">
        <v>36</v>
      </c>
      <c r="AB36" s="45" t="e">
        <f>VLOOKUP(Tabulka381114228344046525864[[#This Row],[Tým]],Tabulka171013630364248546066[[Tým]:[ ]],2,FALSE)</f>
        <v>#N/A</v>
      </c>
      <c r="AC36" s="45" t="e">
        <f>VLOOKUP(Tabulka381114228344046525864[[#This Row],[Tým]],Tabulka171013630364248546066[[Tým]:[ ]],3,FALSE)</f>
        <v>#N/A</v>
      </c>
      <c r="AD36" s="34" t="e">
        <f>VLOOKUP(Tabulka381114228344046525864[[#This Row],[Tým]],Tabulka171013630364248546066[[Tým]:[ ]],4,FALSE)</f>
        <v>#N/A</v>
      </c>
      <c r="AE36" s="34" t="e">
        <f>VLOOKUP(Tabulka381114228344046525864[[#This Row],[Tým]],Tabulka171013630364248546066[[Tým]:[ ]],7,FALSE)</f>
        <v>#N/A</v>
      </c>
      <c r="AF36" s="36" t="e">
        <f>IF(Tabulka381114228344046525864[[#This Row],[Výsledný čas]]="N",5,IF(Tabulka381114228344046525864[[#This Row],[Výsledný čas]]="D",0,IF(Tabulka381114228344046525864[[#This Row],[Výsledný čas]]="NEÚČAST",0,Tabulka8[[#Totals],[Týmy ženy]]+6-Tabulka381114228344046525864[[#This Row],[Umístění]])))</f>
        <v>#N/A</v>
      </c>
      <c r="AH36" s="33" t="e">
        <f>_xlfn.RANK.EQ(Tabulka591215329354147535965[[#This Row],[Body]],Tabulka591215329354147535965[Body],0)</f>
        <v>#N/A</v>
      </c>
      <c r="AI36" s="62" t="s">
        <v>36</v>
      </c>
      <c r="AJ36" s="36" t="e">
        <f>VLOOKUP(Tabulka591215329354147535965[[#This Row],[Tým]],Tabulka381114228344046525864[[Tým]:[Body]],6,FALSE)+Tabulka591215329354147535965[[#This Row],[ ]]</f>
        <v>#N/A</v>
      </c>
      <c r="AK36" s="82" t="e">
        <f>VLOOKUP(Tabulka591215329354147535965[[#This Row],[Tým]],Tabulka5912153293541475359[[Tým]:[Body]],2,FALSE)</f>
        <v>#N/A</v>
      </c>
      <c r="AL36" s="93" t="e">
        <f>Tabulka591215329354147535965[[#This Row],[Umístění]]</f>
        <v>#N/A</v>
      </c>
      <c r="AP36" s="1"/>
    </row>
    <row r="37" spans="4:42" ht="24.95" customHeight="1" x14ac:dyDescent="0.4">
      <c r="D37" s="16"/>
      <c r="P37" s="7"/>
      <c r="Q37" s="8"/>
      <c r="R37" s="8"/>
      <c r="AB37" s="3"/>
      <c r="AC37" s="3"/>
      <c r="AK37" s="4"/>
    </row>
    <row r="38" spans="4:42" ht="24.95" customHeight="1" x14ac:dyDescent="0.4">
      <c r="D38" s="16"/>
      <c r="P38" s="7"/>
      <c r="Q38" s="8"/>
      <c r="R38" s="8"/>
      <c r="AB38" s="3"/>
      <c r="AC38" s="3"/>
      <c r="AK38" s="4"/>
    </row>
    <row r="39" spans="4:42" ht="24.95" customHeight="1" x14ac:dyDescent="0.4">
      <c r="D39" s="16"/>
      <c r="N39" s="68"/>
      <c r="P39" s="7"/>
      <c r="Q39" s="8"/>
      <c r="R39" s="8"/>
      <c r="AB39" s="3"/>
      <c r="AC39" s="3"/>
      <c r="AK39" s="4"/>
    </row>
    <row r="40" spans="4:42" ht="24.95" customHeight="1" x14ac:dyDescent="0.4">
      <c r="D40" s="16"/>
      <c r="N40" s="68"/>
      <c r="P40" s="7"/>
      <c r="Q40" s="8"/>
      <c r="R40" s="8"/>
      <c r="AB40" s="3"/>
      <c r="AC40" s="3"/>
      <c r="AK40" s="4"/>
    </row>
    <row r="41" spans="4:42" ht="24.95" customHeight="1" x14ac:dyDescent="0.4">
      <c r="D41" s="16"/>
      <c r="P41" s="7"/>
      <c r="Q41" s="8"/>
      <c r="R41" s="8"/>
      <c r="AB41" s="3"/>
      <c r="AC41" s="3"/>
      <c r="AK41" s="4"/>
    </row>
    <row r="42" spans="4:42" ht="24.95" customHeight="1" x14ac:dyDescent="0.4">
      <c r="D42" s="16"/>
      <c r="P42" s="7"/>
      <c r="Q42" s="8"/>
      <c r="R42" s="8"/>
      <c r="AB42" s="3"/>
      <c r="AC42" s="3"/>
      <c r="AK42" s="4"/>
    </row>
    <row r="43" spans="4:42" ht="24.95" customHeight="1" x14ac:dyDescent="0.4">
      <c r="D43" s="16"/>
      <c r="P43" s="7"/>
      <c r="Q43" s="8"/>
      <c r="R43" s="8"/>
      <c r="AB43" s="3"/>
      <c r="AC43" s="3"/>
      <c r="AK43" s="4"/>
    </row>
    <row r="44" spans="4:42" ht="24.95" customHeight="1" x14ac:dyDescent="0.4">
      <c r="D44" s="16"/>
      <c r="N44" s="68"/>
      <c r="P44" s="7"/>
      <c r="Q44" s="8"/>
      <c r="R44" s="8"/>
    </row>
    <row r="45" spans="4:42" ht="24.95" customHeight="1" x14ac:dyDescent="0.4">
      <c r="D45" s="16"/>
      <c r="N45" s="68"/>
      <c r="P45" s="7"/>
      <c r="Q45" s="8"/>
      <c r="R45" s="8"/>
    </row>
    <row r="46" spans="4:42" ht="24.95" customHeight="1" x14ac:dyDescent="0.4">
      <c r="D46" s="16"/>
      <c r="P46" s="7"/>
      <c r="Q46" s="8"/>
      <c r="R46" s="8"/>
    </row>
    <row r="47" spans="4:42" ht="24.95" customHeight="1" x14ac:dyDescent="0.4">
      <c r="D47" s="16"/>
      <c r="P47" s="7"/>
      <c r="Q47" s="8"/>
      <c r="R47" s="8"/>
    </row>
    <row r="48" spans="4:42" ht="24.95" customHeight="1" x14ac:dyDescent="0.4">
      <c r="D48" s="16"/>
      <c r="P48" s="7"/>
      <c r="Q48" s="8"/>
      <c r="R48" s="8"/>
    </row>
    <row r="49" spans="4:16" ht="24.95" customHeight="1" x14ac:dyDescent="0.4">
      <c r="D49" s="16"/>
      <c r="P49" s="16"/>
    </row>
    <row r="50" spans="4:16" ht="24.95" customHeight="1" x14ac:dyDescent="0.4">
      <c r="D50" s="16"/>
      <c r="P50" s="16"/>
    </row>
    <row r="51" spans="4:16" ht="24.95" customHeight="1" x14ac:dyDescent="0.4">
      <c r="D51" s="16"/>
      <c r="P51" s="16"/>
    </row>
    <row r="52" spans="4:16" ht="24.95" customHeight="1" x14ac:dyDescent="0.4">
      <c r="D52" s="16"/>
      <c r="P52" s="16"/>
    </row>
    <row r="53" spans="4:16" ht="24.95" customHeight="1" x14ac:dyDescent="0.4">
      <c r="D53" s="16"/>
      <c r="P53" s="16"/>
    </row>
  </sheetData>
  <mergeCells count="6">
    <mergeCell ref="B2:J2"/>
    <mergeCell ref="N2:V2"/>
    <mergeCell ref="Z2:AF2"/>
    <mergeCell ref="AH2:AK2"/>
    <mergeCell ref="Z25:AF25"/>
    <mergeCell ref="AH25:AK25"/>
  </mergeCells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3365C-5378-4A0E-8BC1-00B57178983B}">
  <dimension ref="A1:AP53"/>
  <sheetViews>
    <sheetView showGridLines="0" zoomScale="55" zoomScaleNormal="55" workbookViewId="0">
      <selection activeCell="AH3" sqref="AH3"/>
    </sheetView>
  </sheetViews>
  <sheetFormatPr defaultRowHeight="26.25" x14ac:dyDescent="0.4"/>
  <cols>
    <col min="1" max="1" width="5.7109375" style="1" customWidth="1"/>
    <col min="2" max="3" width="16.7109375" style="1" customWidth="1"/>
    <col min="4" max="4" width="35.7109375" style="1" customWidth="1"/>
    <col min="5" max="6" width="16.7109375" style="1" customWidth="1"/>
    <col min="7" max="7" width="20.7109375" style="1" customWidth="1"/>
    <col min="8" max="9" width="20.7109375" style="1" hidden="1" customWidth="1"/>
    <col min="10" max="12" width="11.5703125" style="1" hidden="1" customWidth="1"/>
    <col min="13" max="13" width="10.7109375" style="1" customWidth="1"/>
    <col min="14" max="15" width="16.7109375" style="1" customWidth="1"/>
    <col min="16" max="16" width="35.7109375" style="1" customWidth="1"/>
    <col min="17" max="18" width="16.7109375" style="1" customWidth="1"/>
    <col min="19" max="19" width="20.7109375" style="1" customWidth="1"/>
    <col min="20" max="21" width="20.7109375" style="1" hidden="1" customWidth="1"/>
    <col min="22" max="24" width="13.7109375" style="1" hidden="1" customWidth="1"/>
    <col min="25" max="25" width="9.140625" style="1"/>
    <col min="26" max="26" width="16.7109375" style="1" customWidth="1"/>
    <col min="27" max="27" width="35.7109375" style="1" customWidth="1"/>
    <col min="28" max="29" width="16.7109375" style="1" customWidth="1"/>
    <col min="30" max="30" width="20.7109375" style="1" customWidth="1"/>
    <col min="31" max="31" width="13.7109375" style="1" hidden="1" customWidth="1"/>
    <col min="32" max="32" width="12.7109375" style="1" customWidth="1"/>
    <col min="33" max="33" width="9.140625" style="1"/>
    <col min="34" max="34" width="16.7109375" style="1" customWidth="1"/>
    <col min="35" max="35" width="35.7109375" style="1" customWidth="1"/>
    <col min="36" max="36" width="12.7109375" style="1" customWidth="1"/>
    <col min="37" max="38" width="34.42578125" style="1" hidden="1" customWidth="1"/>
    <col min="39" max="41" width="9.140625" style="1"/>
    <col min="42" max="16384" width="9.140625" style="2"/>
  </cols>
  <sheetData>
    <row r="1" spans="1:42" ht="24.95" customHeight="1" thickBot="1" x14ac:dyDescent="0.45"/>
    <row r="2" spans="1:42" ht="24.95" customHeight="1" x14ac:dyDescent="0.4">
      <c r="A2" s="9"/>
      <c r="B2" s="317" t="str">
        <f>"Výsledky - Soutěže "&amp;Uvod!A12&amp;" kola NHHL "&amp;TEXT(Uvod!B12,"d.m. rrrr")&amp;" "&amp;Uvod!C12&amp;" - MUŽI "</f>
        <v xml:space="preserve">Výsledky - Soutěže 10. kola NHHL 1.9. 2023 Strahovice - MUŽI </v>
      </c>
      <c r="C2" s="318"/>
      <c r="D2" s="318"/>
      <c r="E2" s="318"/>
      <c r="F2" s="318"/>
      <c r="G2" s="318"/>
      <c r="H2" s="318"/>
      <c r="I2" s="318"/>
      <c r="J2" s="319"/>
      <c r="K2" s="177"/>
      <c r="L2" s="177"/>
      <c r="M2" s="15"/>
      <c r="N2" s="308" t="str">
        <f>"Výsledky - Soutěže "&amp;Uvod!A12&amp;" kola NHHL "&amp;TEXT(Uvod!B12,"d.m. rrrr")&amp;" "&amp;Uvod!C12&amp;" - ŽENY "</f>
        <v xml:space="preserve">Výsledky - Soutěže 10. kola NHHL 1.9. 2023 Strahovice - ŽENY </v>
      </c>
      <c r="O2" s="309"/>
      <c r="P2" s="309"/>
      <c r="Q2" s="309"/>
      <c r="R2" s="309"/>
      <c r="S2" s="309"/>
      <c r="T2" s="320"/>
      <c r="U2" s="320"/>
      <c r="V2" s="310"/>
      <c r="W2" s="180"/>
      <c r="X2" s="180"/>
      <c r="Y2" s="15"/>
      <c r="Z2" s="324" t="str">
        <f>B2</f>
        <v xml:space="preserve">Výsledky - Soutěže 10. kola NHHL 1.9. 2023 Strahovice - MUŽI </v>
      </c>
      <c r="AA2" s="325"/>
      <c r="AB2" s="325"/>
      <c r="AC2" s="325"/>
      <c r="AD2" s="325"/>
      <c r="AE2" s="325"/>
      <c r="AF2" s="326"/>
      <c r="AH2" s="324" t="s">
        <v>139</v>
      </c>
      <c r="AI2" s="325"/>
      <c r="AJ2" s="325"/>
      <c r="AK2" s="327"/>
      <c r="AL2" s="15"/>
    </row>
    <row r="3" spans="1:42" ht="24.95" customHeight="1" thickBot="1" x14ac:dyDescent="0.45">
      <c r="B3" s="21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3" t="s">
        <v>5</v>
      </c>
      <c r="H3" s="22" t="s">
        <v>73</v>
      </c>
      <c r="I3" s="22" t="s">
        <v>74</v>
      </c>
      <c r="J3" s="1" t="s">
        <v>27</v>
      </c>
      <c r="N3" s="28" t="s">
        <v>0</v>
      </c>
      <c r="O3" s="24" t="s">
        <v>1</v>
      </c>
      <c r="P3" s="24" t="s">
        <v>2</v>
      </c>
      <c r="Q3" s="24" t="s">
        <v>3</v>
      </c>
      <c r="R3" s="24" t="s">
        <v>4</v>
      </c>
      <c r="S3" s="24" t="s">
        <v>5</v>
      </c>
      <c r="T3" s="233" t="s">
        <v>74</v>
      </c>
      <c r="U3" s="233" t="s">
        <v>73</v>
      </c>
      <c r="V3" s="29" t="s">
        <v>27</v>
      </c>
      <c r="Y3" s="15"/>
      <c r="Z3" s="58" t="s">
        <v>1</v>
      </c>
      <c r="AA3" s="59" t="s">
        <v>2</v>
      </c>
      <c r="AB3" s="59" t="s">
        <v>3</v>
      </c>
      <c r="AC3" s="59" t="s">
        <v>4</v>
      </c>
      <c r="AD3" s="59" t="s">
        <v>5</v>
      </c>
      <c r="AE3" s="59" t="s">
        <v>27</v>
      </c>
      <c r="AF3" s="60" t="s">
        <v>7</v>
      </c>
      <c r="AH3" s="58" t="s">
        <v>1</v>
      </c>
      <c r="AI3" s="59" t="s">
        <v>2</v>
      </c>
      <c r="AJ3" s="59" t="s">
        <v>7</v>
      </c>
      <c r="AK3" s="46" t="s">
        <v>27</v>
      </c>
      <c r="AL3" s="94" t="s">
        <v>73</v>
      </c>
      <c r="AM3" s="15"/>
      <c r="AP3" s="1"/>
    </row>
    <row r="4" spans="1:42" ht="24.95" customHeight="1" x14ac:dyDescent="0.4">
      <c r="B4" s="6"/>
      <c r="C4" s="1" t="str">
        <f>IF(Tabulka1710132531374349556167[[#This Row],[ ]]="","",IF(Tabulka1710132531374349556167[[#This Row],[ ]]="NEÚČAST","",IF(OR(Tabulka1710132531374349556167[Výsledný čas]="N",Tabulka1710132531374349556167[Výsledný čas]="D"),$L$4-$L$5,_xlfn.RANK.EQ(Tabulka1710132531374349556167[[#This Row],[ ]],Tabulka1710132531374349556167[[ ]],1))))</f>
        <v/>
      </c>
      <c r="D4" s="7"/>
      <c r="E4" s="8"/>
      <c r="F4" s="8"/>
      <c r="G4" s="9" t="str">
        <f>IF(OR(Tabulka1710132531374349556167[[#This Row],[LP]]="N",Tabulka1710132531374349556167[[#This Row],[PP]]="N"),"N",IF(OR(Tabulka1710132531374349556167[[#This Row],[LP]]="D",Tabulka1710132531374349556167[[#This Row],[PP]]="D"),"D",IF(OR(Tabulka1710132531374349556167[[#This Row],[LP]]="NEÚČAST",Tabulka1710132531374349556167[[#This Row],[PP]]="NEÚČAST"),"NEÚČAST",IF(OR(Tabulka1710132531374349556167[[#This Row],[LP]]="",Tabulka1710132531374349556167[[#This Row],[PP]]=""),"",MAX(Tabulka1710132531374349556167[[#This Row],[LP]:[PP]])))))</f>
        <v/>
      </c>
      <c r="H4" s="1">
        <f>COUNTIF(Tabulka1710132531374349556167[[#This Row],[Tým]],"*")</f>
        <v>0</v>
      </c>
      <c r="I4" s="1">
        <f>COUNTIF(Tabulka1710132531374349556167[[#This Row],[Výsledný čas]],"NEÚČAST")</f>
        <v>0</v>
      </c>
      <c r="J4" s="1" t="str">
        <f>IF(Tabulka1710132531374349556167[[#This Row],[Výsledný čas]]="N",998,IF(Tabulka1710132531374349556167[[#This Row],[Výsledný čas]]="D",998,IF(Tabulka1710132531374349556167[[#This Row],[Výsledný čas]]="","",Tabulka1710132531374349556167[[#This Row],[Výsledný čas]])))</f>
        <v/>
      </c>
      <c r="L4" s="1">
        <f>SUM(Tabulka1710132531374349556167[Sloupec1])</f>
        <v>0</v>
      </c>
      <c r="N4" s="30"/>
      <c r="O4" s="25" t="str">
        <f>IF(Tabulka17101363036424854606672[[#This Row],[ ]]="","",IF(Tabulka17101363036424854606672[[#This Row],[ ]]="NEÚČAST","",IF(OR(Tabulka17101363036424854606672[Výsledný čas]="N",Tabulka17101363036424854606672[Výsledný čas]="D"),$X$4-$X$5,_xlfn.RANK.EQ(Tabulka17101363036424854606672[[#This Row],[ ]],Tabulka17101363036424854606672[[ ]],1))))</f>
        <v/>
      </c>
      <c r="P4" s="26"/>
      <c r="Q4" s="5"/>
      <c r="R4" s="5"/>
      <c r="S4" s="25" t="str">
        <f>IF(OR(Tabulka17101363036424854606672[[#This Row],[LP]]="N",Tabulka17101363036424854606672[[#This Row],[PP]]="N"),"N",IF(OR(Tabulka17101363036424854606672[[#This Row],[LP]]="D",Tabulka17101363036424854606672[[#This Row],[PP]]="D"),"D",IF(OR(Tabulka17101363036424854606672[[#This Row],[LP]]="NEÚČAST",Tabulka17101363036424854606672[[#This Row],[PP]]="NEÚČAST"),"NEÚČAST",IF(OR(Tabulka17101363036424854606672[[#This Row],[LP]]="",Tabulka17101363036424854606672[[#This Row],[PP]]=""),"",MAX(Tabulka17101363036424854606672[[#This Row],[LP]:[PP]])))))</f>
        <v/>
      </c>
      <c r="T4" s="46">
        <f>COUNTIF(Tabulka17101363036424854606672[[#This Row],[Tým]],"*")</f>
        <v>0</v>
      </c>
      <c r="U4" s="46">
        <f>COUNTIF(Tabulka17101363036424854606672[[#This Row],[Výsledný čas]],"NEÚČAST")</f>
        <v>0</v>
      </c>
      <c r="V4" s="29" t="str">
        <f>IF(Tabulka17101363036424854606672[[#This Row],[Výsledný čas]]="N",998,IF(Tabulka17101363036424854606672[[#This Row],[Výsledný čas]]="D",998,IF(Tabulka17101363036424854606672[[#This Row],[Výsledný čas]]="","",Tabulka17101363036424854606672[[#This Row],[Výsledný čas]])))</f>
        <v/>
      </c>
      <c r="X4" s="1">
        <f>SUM(Tabulka17101363036424854606672[Sloupec2])</f>
        <v>0</v>
      </c>
      <c r="Y4" s="15"/>
      <c r="Z4" s="77" t="e">
        <f>IF(OR(Tabulka3811142632384450566268[Výsledný čas]="N",Tabulka3811142632384450566268[Výsledný čas]="D",Tabulka3811142632384450566268[Výsledný čas]="NEÚČAST"),Uvod!$E$4,_xlfn.RANK.EQ(Tabulka3811142632384450566268[[#This Row],[ ]],Tabulka3811142632384450566268[[ ]],1))</f>
        <v>#N/A</v>
      </c>
      <c r="AA4" s="78" t="s">
        <v>19</v>
      </c>
      <c r="AB4" s="79" t="e">
        <f>VLOOKUP(Tabulka3811142632384450566268[[#This Row],[Tým]],Tabulka1710132531374349556167[[Tým]:[ ]],2,FALSE)</f>
        <v>#N/A</v>
      </c>
      <c r="AC4" s="79" t="e">
        <f>VLOOKUP(Tabulka3811142632384450566268[[#This Row],[Tým]],Tabulka1710132531374349556167[[Tým]:[ ]],3,FALSE)</f>
        <v>#N/A</v>
      </c>
      <c r="AD4" s="80" t="e">
        <f>VLOOKUP(Tabulka3811142632384450566268[[#This Row],[Tým]],Tabulka1710132531374349556167[[Tým]:[ ]],4,FALSE)</f>
        <v>#N/A</v>
      </c>
      <c r="AE4" s="80" t="e">
        <f>VLOOKUP(Tabulka3811142632384450566268[[#This Row],[Tým]],Tabulka1710132531374349556167[[Tým]:[ ]],5,FALSE)</f>
        <v>#N/A</v>
      </c>
      <c r="AF4" s="81" t="e">
        <f>IF(Tabulka3811142632384450566268[[#This Row],[Výsledný čas]]="N",5,IF(Tabulka3811142632384450566268[[#This Row],[Výsledný čas]]="D",0,IF(Tabulka3811142632384450566268[[#This Row],[Výsledný čas]]="NEÚČAST",0,Tabulka4[[#Totals],[Týmy muži]]+6-Tabulka3811142632384450566268[[#This Row],[Umístění]])))</f>
        <v>#N/A</v>
      </c>
      <c r="AH4" s="77" t="e">
        <f>_xlfn.RANK.EQ(Tabulka5912152733394551576369[[#This Row],[Body]],Tabulka5912152733394551576369[Body],0)</f>
        <v>#N/A</v>
      </c>
      <c r="AI4" s="78" t="s">
        <v>19</v>
      </c>
      <c r="AJ4" s="81" t="e">
        <f>VLOOKUP(Tabulka5912152733394551576369[[#This Row],[Tým]],Tabulka3811142632384450566268[[Tým]:[Body]],6,FALSE)+Tabulka5912152733394551576369[[#This Row],[ ]]</f>
        <v>#N/A</v>
      </c>
      <c r="AK4" s="82" t="e">
        <f>VLOOKUP(Tabulka5912152733394551576369[[#This Row],[Tým]],Tabulka59121527333945515763[[Tým]:[Body]],2,FALSE)</f>
        <v>#N/A</v>
      </c>
      <c r="AL4" s="92" t="e">
        <f>Tabulka5912152733394551576369[[#This Row],[Umístění]]</f>
        <v>#N/A</v>
      </c>
      <c r="AM4" s="15"/>
      <c r="AP4" s="1"/>
    </row>
    <row r="5" spans="1:42" ht="24.95" customHeight="1" x14ac:dyDescent="0.4">
      <c r="B5" s="6"/>
      <c r="C5" s="1" t="str">
        <f>IF(Tabulka1710132531374349556167[[#This Row],[ ]]="","",IF(Tabulka1710132531374349556167[[#This Row],[ ]]="NEÚČAST","",IF(OR(Tabulka1710132531374349556167[Výsledný čas]="N",Tabulka1710132531374349556167[Výsledný čas]="D"),$L$4-$L$5,_xlfn.RANK.EQ(Tabulka1710132531374349556167[[#This Row],[ ]],Tabulka1710132531374349556167[[ ]],1))))</f>
        <v/>
      </c>
      <c r="D5" s="7"/>
      <c r="E5" s="8"/>
      <c r="F5" s="8"/>
      <c r="G5" s="9" t="str">
        <f>IF(OR(Tabulka1710132531374349556167[[#This Row],[LP]]="N",Tabulka1710132531374349556167[[#This Row],[PP]]="N"),"N",IF(OR(Tabulka1710132531374349556167[[#This Row],[LP]]="D",Tabulka1710132531374349556167[[#This Row],[PP]]="D"),"D",IF(OR(Tabulka1710132531374349556167[[#This Row],[LP]]="NEÚČAST",Tabulka1710132531374349556167[[#This Row],[PP]]="NEÚČAST"),"NEÚČAST",IF(OR(Tabulka1710132531374349556167[[#This Row],[LP]]="",Tabulka1710132531374349556167[[#This Row],[PP]]=""),"",MAX(Tabulka1710132531374349556167[[#This Row],[LP]:[PP]])))))</f>
        <v/>
      </c>
      <c r="H5" s="1">
        <f>COUNTIF(Tabulka1710132531374349556167[[#This Row],[Tým]],"*")</f>
        <v>0</v>
      </c>
      <c r="I5" s="1">
        <f>COUNTIF(Tabulka1710132531374349556167[[#This Row],[Výsledný čas]],"NEÚČAST")</f>
        <v>0</v>
      </c>
      <c r="J5" s="1" t="str">
        <f>IF(Tabulka1710132531374349556167[[#This Row],[Výsledný čas]]="N",998,IF(Tabulka1710132531374349556167[[#This Row],[Výsledný čas]]="D",998,IF(Tabulka1710132531374349556167[[#This Row],[Výsledný čas]]="","",Tabulka1710132531374349556167[[#This Row],[Výsledný čas]])))</f>
        <v/>
      </c>
      <c r="L5" s="1">
        <f>SUM(Tabulka1710132531374349556167[Sloupec2])</f>
        <v>0</v>
      </c>
      <c r="N5" s="30"/>
      <c r="O5" s="25" t="str">
        <f>IF(Tabulka17101363036424854606672[[#This Row],[ ]]="","",IF(Tabulka17101363036424854606672[[#This Row],[ ]]="NEÚČAST","",IF(OR(Tabulka17101363036424854606672[Výsledný čas]="N",Tabulka17101363036424854606672[Výsledný čas]="D"),$X$4-$X$5,_xlfn.RANK.EQ(Tabulka17101363036424854606672[[#This Row],[ ]],Tabulka17101363036424854606672[[ ]],1))))</f>
        <v/>
      </c>
      <c r="P5" s="26"/>
      <c r="Q5" s="5"/>
      <c r="R5" s="5"/>
      <c r="S5" s="25" t="str">
        <f>IF(OR(Tabulka17101363036424854606672[[#This Row],[LP]]="N",Tabulka17101363036424854606672[[#This Row],[PP]]="N"),"N",IF(OR(Tabulka17101363036424854606672[[#This Row],[LP]]="D",Tabulka17101363036424854606672[[#This Row],[PP]]="D"),"D",IF(OR(Tabulka17101363036424854606672[[#This Row],[LP]]="NEÚČAST",Tabulka17101363036424854606672[[#This Row],[PP]]="NEÚČAST"),"NEÚČAST",IF(OR(Tabulka17101363036424854606672[[#This Row],[LP]]="",Tabulka17101363036424854606672[[#This Row],[PP]]=""),"",MAX(Tabulka17101363036424854606672[[#This Row],[LP]:[PP]])))))</f>
        <v/>
      </c>
      <c r="T5" s="46">
        <f>COUNTIF(Tabulka17101363036424854606672[[#This Row],[Tým]],"*")</f>
        <v>0</v>
      </c>
      <c r="U5" s="46">
        <f>COUNTIF(Tabulka17101363036424854606672[[#This Row],[Výsledný čas]],"NEÚČAST")</f>
        <v>0</v>
      </c>
      <c r="V5" s="29" t="str">
        <f>IF(Tabulka17101363036424854606672[[#This Row],[Výsledný čas]]="N",998,IF(Tabulka17101363036424854606672[[#This Row],[Výsledný čas]]="D",998,IF(Tabulka17101363036424854606672[[#This Row],[Výsledný čas]]="","",Tabulka17101363036424854606672[[#This Row],[Výsledný čas]])))</f>
        <v/>
      </c>
      <c r="X5" s="1">
        <f>SUM(Tabulka17101363036424854606672[Sloupec1])</f>
        <v>0</v>
      </c>
      <c r="Y5" s="15"/>
      <c r="Z5" s="31" t="e">
        <f>IF(OR(Tabulka3811142632384450566268[Výsledný čas]="N",Tabulka3811142632384450566268[Výsledný čas]="D",Tabulka3811142632384450566268[Výsledný čas]="NEÚČAST"),Uvod!$E$4,_xlfn.RANK.EQ(Tabulka3811142632384450566268[[#This Row],[ ]],Tabulka3811142632384450566268[[ ]],1))</f>
        <v>#N/A</v>
      </c>
      <c r="AA5" s="51" t="s">
        <v>30</v>
      </c>
      <c r="AB5" s="44" t="e">
        <f>VLOOKUP(Tabulka3811142632384450566268[[#This Row],[Tým]],Tabulka1710132531374349556167[[Tým]:[ ]],2,FALSE)</f>
        <v>#N/A</v>
      </c>
      <c r="AC5" s="44" t="e">
        <f>VLOOKUP(Tabulka3811142632384450566268[[#This Row],[Tým]],Tabulka1710132531374349556167[[Tým]:[ ]],3,FALSE)</f>
        <v>#N/A</v>
      </c>
      <c r="AD5" s="25" t="e">
        <f>VLOOKUP(Tabulka3811142632384450566268[[#This Row],[Tým]],Tabulka1710132531374349556167[[Tým]:[ ]],4,FALSE)</f>
        <v>#N/A</v>
      </c>
      <c r="AE5" s="25" t="e">
        <f>VLOOKUP(Tabulka3811142632384450566268[[#This Row],[Tým]],Tabulka1710132531374349556167[[Tým]:[ ]],5,FALSE)</f>
        <v>#N/A</v>
      </c>
      <c r="AF5" s="29" t="e">
        <f>IF(Tabulka3811142632384450566268[[#This Row],[Výsledný čas]]="N",5,IF(Tabulka3811142632384450566268[[#This Row],[Výsledný čas]]="D",0,IF(Tabulka3811142632384450566268[[#This Row],[Výsledný čas]]="NEÚČAST",0,Tabulka4[[#Totals],[Týmy muži]]+6-Tabulka3811142632384450566268[[#This Row],[Umístění]])))</f>
        <v>#N/A</v>
      </c>
      <c r="AH5" s="31" t="e">
        <f>_xlfn.RANK.EQ(Tabulka5912152733394551576369[[#This Row],[Body]],Tabulka5912152733394551576369[Body],0)</f>
        <v>#N/A</v>
      </c>
      <c r="AI5" s="51" t="s">
        <v>30</v>
      </c>
      <c r="AJ5" s="29" t="e">
        <f>VLOOKUP(Tabulka5912152733394551576369[[#This Row],[Tým]],Tabulka3811142632384450566268[[Tým]:[Body]],6,FALSE)+Tabulka5912152733394551576369[[#This Row],[ ]]</f>
        <v>#N/A</v>
      </c>
      <c r="AK5" s="82" t="e">
        <f>VLOOKUP(Tabulka5912152733394551576369[[#This Row],[Tým]],Tabulka59121527333945515763[[Tým]:[Body]],2,FALSE)</f>
        <v>#N/A</v>
      </c>
      <c r="AL5" s="47" t="e">
        <f>Tabulka5912152733394551576369[[#This Row],[Umístění]]</f>
        <v>#N/A</v>
      </c>
      <c r="AM5" s="15"/>
      <c r="AP5" s="1"/>
    </row>
    <row r="6" spans="1:42" ht="24.95" customHeight="1" x14ac:dyDescent="0.4">
      <c r="B6" s="6"/>
      <c r="C6" s="1" t="str">
        <f>IF(Tabulka1710132531374349556167[[#This Row],[ ]]="","",IF(Tabulka1710132531374349556167[[#This Row],[ ]]="NEÚČAST","",IF(OR(Tabulka1710132531374349556167[Výsledný čas]="N",Tabulka1710132531374349556167[Výsledný čas]="D"),$L$4-$L$5,_xlfn.RANK.EQ(Tabulka1710132531374349556167[[#This Row],[ ]],Tabulka1710132531374349556167[[ ]],1))))</f>
        <v/>
      </c>
      <c r="D6" s="7"/>
      <c r="E6" s="8"/>
      <c r="F6" s="8"/>
      <c r="G6" s="9" t="str">
        <f>IF(OR(Tabulka1710132531374349556167[[#This Row],[LP]]="N",Tabulka1710132531374349556167[[#This Row],[PP]]="N"),"N",IF(OR(Tabulka1710132531374349556167[[#This Row],[LP]]="D",Tabulka1710132531374349556167[[#This Row],[PP]]="D"),"D",IF(OR(Tabulka1710132531374349556167[[#This Row],[LP]]="NEÚČAST",Tabulka1710132531374349556167[[#This Row],[PP]]="NEÚČAST"),"NEÚČAST",IF(OR(Tabulka1710132531374349556167[[#This Row],[LP]]="",Tabulka1710132531374349556167[[#This Row],[PP]]=""),"",MAX(Tabulka1710132531374349556167[[#This Row],[LP]:[PP]])))))</f>
        <v/>
      </c>
      <c r="H6" s="1">
        <f>COUNTIF(Tabulka1710132531374349556167[[#This Row],[Tým]],"*")</f>
        <v>0</v>
      </c>
      <c r="I6" s="1">
        <f>COUNTIF(Tabulka1710132531374349556167[[#This Row],[Výsledný čas]],"NEÚČAST")</f>
        <v>0</v>
      </c>
      <c r="J6" s="1" t="str">
        <f>IF(Tabulka1710132531374349556167[[#This Row],[Výsledný čas]]="N",998,IF(Tabulka1710132531374349556167[[#This Row],[Výsledný čas]]="D",998,IF(Tabulka1710132531374349556167[[#This Row],[Výsledný čas]]="","",Tabulka1710132531374349556167[[#This Row],[Výsledný čas]])))</f>
        <v/>
      </c>
      <c r="N6" s="30"/>
      <c r="O6" s="25" t="str">
        <f>IF(Tabulka17101363036424854606672[[#This Row],[ ]]="","",IF(Tabulka17101363036424854606672[[#This Row],[ ]]="NEÚČAST","",IF(OR(Tabulka17101363036424854606672[Výsledný čas]="N",Tabulka17101363036424854606672[Výsledný čas]="D"),$X$4-$X$5,_xlfn.RANK.EQ(Tabulka17101363036424854606672[[#This Row],[ ]],Tabulka17101363036424854606672[[ ]],1))))</f>
        <v/>
      </c>
      <c r="P6" s="26"/>
      <c r="Q6" s="5"/>
      <c r="R6" s="5"/>
      <c r="S6" s="25" t="str">
        <f>IF(OR(Tabulka17101363036424854606672[[#This Row],[LP]]="N",Tabulka17101363036424854606672[[#This Row],[PP]]="N"),"N",IF(OR(Tabulka17101363036424854606672[[#This Row],[LP]]="D",Tabulka17101363036424854606672[[#This Row],[PP]]="D"),"D",IF(OR(Tabulka17101363036424854606672[[#This Row],[LP]]="NEÚČAST",Tabulka17101363036424854606672[[#This Row],[PP]]="NEÚČAST"),"NEÚČAST",IF(OR(Tabulka17101363036424854606672[[#This Row],[LP]]="",Tabulka17101363036424854606672[[#This Row],[PP]]=""),"",MAX(Tabulka17101363036424854606672[[#This Row],[LP]:[PP]])))))</f>
        <v/>
      </c>
      <c r="T6" s="46">
        <f>COUNTIF(Tabulka17101363036424854606672[[#This Row],[Tým]],"*")</f>
        <v>0</v>
      </c>
      <c r="U6" s="46">
        <f>COUNTIF(Tabulka17101363036424854606672[[#This Row],[Výsledný čas]],"NEÚČAST")</f>
        <v>0</v>
      </c>
      <c r="V6" s="29" t="str">
        <f>IF(Tabulka17101363036424854606672[[#This Row],[Výsledný čas]]="N",998,IF(Tabulka17101363036424854606672[[#This Row],[Výsledný čas]]="D",998,IF(Tabulka17101363036424854606672[[#This Row],[Výsledný čas]]="","",Tabulka17101363036424854606672[[#This Row],[Výsledný čas]])))</f>
        <v/>
      </c>
      <c r="Y6" s="15"/>
      <c r="Z6" s="31" t="e">
        <f>IF(OR(Tabulka3811142632384450566268[Výsledný čas]="N",Tabulka3811142632384450566268[Výsledný čas]="D",Tabulka3811142632384450566268[Výsledný čas]="NEÚČAST"),Uvod!$E$4,_xlfn.RANK.EQ(Tabulka3811142632384450566268[[#This Row],[ ]],Tabulka3811142632384450566268[[ ]],1))</f>
        <v>#N/A</v>
      </c>
      <c r="AA6" s="51" t="s">
        <v>22</v>
      </c>
      <c r="AB6" s="44" t="e">
        <f>VLOOKUP(Tabulka3811142632384450566268[[#This Row],[Tým]],Tabulka1710132531374349556167[[Tým]:[ ]],2,FALSE)</f>
        <v>#N/A</v>
      </c>
      <c r="AC6" s="44" t="e">
        <f>VLOOKUP(Tabulka3811142632384450566268[[#This Row],[Tým]],Tabulka1710132531374349556167[[Tým]:[ ]],3,FALSE)</f>
        <v>#N/A</v>
      </c>
      <c r="AD6" s="25" t="e">
        <f>VLOOKUP(Tabulka3811142632384450566268[[#This Row],[Tým]],Tabulka1710132531374349556167[[Tým]:[ ]],4,FALSE)</f>
        <v>#N/A</v>
      </c>
      <c r="AE6" s="25" t="e">
        <f>VLOOKUP(Tabulka3811142632384450566268[[#This Row],[Tým]],Tabulka1710132531374349556167[[Tým]:[ ]],5,FALSE)</f>
        <v>#N/A</v>
      </c>
      <c r="AF6" s="29" t="e">
        <f>IF(Tabulka3811142632384450566268[[#This Row],[Výsledný čas]]="N",5,IF(Tabulka3811142632384450566268[[#This Row],[Výsledný čas]]="D",0,IF(Tabulka3811142632384450566268[[#This Row],[Výsledný čas]]="NEÚČAST",0,Tabulka4[[#Totals],[Týmy muži]]+6-Tabulka3811142632384450566268[[#This Row],[Umístění]])))</f>
        <v>#N/A</v>
      </c>
      <c r="AH6" s="31" t="e">
        <f>_xlfn.RANK.EQ(Tabulka5912152733394551576369[[#This Row],[Body]],Tabulka5912152733394551576369[Body],0)</f>
        <v>#N/A</v>
      </c>
      <c r="AI6" s="51" t="s">
        <v>22</v>
      </c>
      <c r="AJ6" s="29" t="e">
        <f>VLOOKUP(Tabulka5912152733394551576369[[#This Row],[Tým]],Tabulka3811142632384450566268[[Tým]:[Body]],6,FALSE)+Tabulka5912152733394551576369[[#This Row],[ ]]</f>
        <v>#N/A</v>
      </c>
      <c r="AK6" s="82" t="e">
        <f>VLOOKUP(Tabulka5912152733394551576369[[#This Row],[Tým]],Tabulka59121527333945515763[[Tým]:[Body]],2,FALSE)</f>
        <v>#N/A</v>
      </c>
      <c r="AL6" s="47" t="e">
        <f>Tabulka5912152733394551576369[[#This Row],[Umístění]]</f>
        <v>#N/A</v>
      </c>
      <c r="AM6" s="15"/>
      <c r="AP6" s="1"/>
    </row>
    <row r="7" spans="1:42" ht="24.95" customHeight="1" x14ac:dyDescent="0.4">
      <c r="B7" s="6"/>
      <c r="C7" s="1" t="str">
        <f>IF(Tabulka1710132531374349556167[[#This Row],[ ]]="","",IF(Tabulka1710132531374349556167[[#This Row],[ ]]="NEÚČAST","",IF(OR(Tabulka1710132531374349556167[Výsledný čas]="N",Tabulka1710132531374349556167[Výsledný čas]="D"),$L$4-$L$5,_xlfn.RANK.EQ(Tabulka1710132531374349556167[[#This Row],[ ]],Tabulka1710132531374349556167[[ ]],1))))</f>
        <v/>
      </c>
      <c r="D7" s="10"/>
      <c r="E7" s="8"/>
      <c r="F7" s="8"/>
      <c r="G7" s="9" t="str">
        <f>IF(OR(Tabulka1710132531374349556167[[#This Row],[LP]]="N",Tabulka1710132531374349556167[[#This Row],[PP]]="N"),"N",IF(OR(Tabulka1710132531374349556167[[#This Row],[LP]]="D",Tabulka1710132531374349556167[[#This Row],[PP]]="D"),"D",IF(OR(Tabulka1710132531374349556167[[#This Row],[LP]]="NEÚČAST",Tabulka1710132531374349556167[[#This Row],[PP]]="NEÚČAST"),"NEÚČAST",IF(OR(Tabulka1710132531374349556167[[#This Row],[LP]]="",Tabulka1710132531374349556167[[#This Row],[PP]]=""),"",MAX(Tabulka1710132531374349556167[[#This Row],[LP]:[PP]])))))</f>
        <v/>
      </c>
      <c r="H7" s="1">
        <f>COUNTIF(Tabulka1710132531374349556167[[#This Row],[Tým]],"*")</f>
        <v>0</v>
      </c>
      <c r="I7" s="1">
        <f>COUNTIF(Tabulka1710132531374349556167[[#This Row],[Výsledný čas]],"NEÚČAST")</f>
        <v>0</v>
      </c>
      <c r="J7" s="1" t="str">
        <f>IF(Tabulka1710132531374349556167[[#This Row],[Výsledný čas]]="N",998,IF(Tabulka1710132531374349556167[[#This Row],[Výsledný čas]]="D",998,IF(Tabulka1710132531374349556167[[#This Row],[Výsledný čas]]="","",Tabulka1710132531374349556167[[#This Row],[Výsledný čas]])))</f>
        <v/>
      </c>
      <c r="N7" s="31"/>
      <c r="O7" s="25" t="str">
        <f>IF(Tabulka17101363036424854606672[[#This Row],[ ]]="","",IF(Tabulka17101363036424854606672[[#This Row],[ ]]="NEÚČAST","",IF(OR(Tabulka17101363036424854606672[Výsledný čas]="N",Tabulka17101363036424854606672[Výsledný čas]="D"),$X$4-$X$5,_xlfn.RANK.EQ(Tabulka17101363036424854606672[[#This Row],[ ]],Tabulka17101363036424854606672[[ ]],1))))</f>
        <v/>
      </c>
      <c r="P7" s="26"/>
      <c r="Q7" s="5"/>
      <c r="R7" s="5"/>
      <c r="S7" s="25" t="str">
        <f>IF(OR(Tabulka17101363036424854606672[[#This Row],[LP]]="N",Tabulka17101363036424854606672[[#This Row],[PP]]="N"),"N",IF(OR(Tabulka17101363036424854606672[[#This Row],[LP]]="D",Tabulka17101363036424854606672[[#This Row],[PP]]="D"),"D",IF(OR(Tabulka17101363036424854606672[[#This Row],[LP]]="NEÚČAST",Tabulka17101363036424854606672[[#This Row],[PP]]="NEÚČAST"),"NEÚČAST",IF(OR(Tabulka17101363036424854606672[[#This Row],[LP]]="",Tabulka17101363036424854606672[[#This Row],[PP]]=""),"",MAX(Tabulka17101363036424854606672[[#This Row],[LP]:[PP]])))))</f>
        <v/>
      </c>
      <c r="T7" s="46">
        <f>COUNTIF(Tabulka17101363036424854606672[[#This Row],[Tým]],"*")</f>
        <v>0</v>
      </c>
      <c r="U7" s="46">
        <f>COUNTIF(Tabulka17101363036424854606672[[#This Row],[Výsledný čas]],"NEÚČAST")</f>
        <v>0</v>
      </c>
      <c r="V7" s="29" t="str">
        <f>IF(Tabulka17101363036424854606672[[#This Row],[Výsledný čas]]="N",998,IF(Tabulka17101363036424854606672[[#This Row],[Výsledný čas]]="D",998,IF(Tabulka17101363036424854606672[[#This Row],[Výsledný čas]]="","",Tabulka17101363036424854606672[[#This Row],[Výsledný čas]])))</f>
        <v/>
      </c>
      <c r="Y7" s="15"/>
      <c r="Z7" s="31" t="e">
        <f>IF(OR(Tabulka3811142632384450566268[Výsledný čas]="N",Tabulka3811142632384450566268[Výsledný čas]="D",Tabulka3811142632384450566268[Výsledný čas]="NEÚČAST"),Uvod!$E$4,_xlfn.RANK.EQ(Tabulka3811142632384450566268[[#This Row],[ ]],Tabulka3811142632384450566268[[ ]],1))</f>
        <v>#N/A</v>
      </c>
      <c r="AA7" s="51" t="s">
        <v>20</v>
      </c>
      <c r="AB7" s="44" t="e">
        <f>VLOOKUP(Tabulka3811142632384450566268[[#This Row],[Tým]],Tabulka1710132531374349556167[[Tým]:[ ]],2,FALSE)</f>
        <v>#N/A</v>
      </c>
      <c r="AC7" s="44" t="e">
        <f>VLOOKUP(Tabulka3811142632384450566268[[#This Row],[Tým]],Tabulka1710132531374349556167[[Tým]:[ ]],3,FALSE)</f>
        <v>#N/A</v>
      </c>
      <c r="AD7" s="25" t="e">
        <f>VLOOKUP(Tabulka3811142632384450566268[[#This Row],[Tým]],Tabulka1710132531374349556167[[Tým]:[ ]],4,FALSE)</f>
        <v>#N/A</v>
      </c>
      <c r="AE7" s="25" t="e">
        <f>VLOOKUP(Tabulka3811142632384450566268[[#This Row],[Tým]],Tabulka1710132531374349556167[[Tým]:[ ]],5,FALSE)</f>
        <v>#N/A</v>
      </c>
      <c r="AF7" s="29" t="e">
        <f>IF(Tabulka3811142632384450566268[[#This Row],[Výsledný čas]]="N",5,IF(Tabulka3811142632384450566268[[#This Row],[Výsledný čas]]="D",0,IF(Tabulka3811142632384450566268[[#This Row],[Výsledný čas]]="NEÚČAST",0,Tabulka4[[#Totals],[Týmy muži]]+6-Tabulka3811142632384450566268[[#This Row],[Umístění]])))</f>
        <v>#N/A</v>
      </c>
      <c r="AH7" s="31" t="e">
        <f>_xlfn.RANK.EQ(Tabulka5912152733394551576369[[#This Row],[Body]],Tabulka5912152733394551576369[Body],0)</f>
        <v>#N/A</v>
      </c>
      <c r="AI7" s="51" t="s">
        <v>20</v>
      </c>
      <c r="AJ7" s="29" t="e">
        <f>VLOOKUP(Tabulka5912152733394551576369[[#This Row],[Tým]],Tabulka3811142632384450566268[[Tým]:[Body]],6,FALSE)+Tabulka5912152733394551576369[[#This Row],[ ]]</f>
        <v>#N/A</v>
      </c>
      <c r="AK7" s="82" t="e">
        <f>VLOOKUP(Tabulka5912152733394551576369[[#This Row],[Tým]],Tabulka59121527333945515763[[Tým]:[Body]],2,FALSE)</f>
        <v>#N/A</v>
      </c>
      <c r="AL7" s="47" t="e">
        <f>Tabulka5912152733394551576369[[#This Row],[Umístění]]</f>
        <v>#N/A</v>
      </c>
      <c r="AM7" s="15"/>
      <c r="AP7" s="1"/>
    </row>
    <row r="8" spans="1:42" ht="24.95" customHeight="1" x14ac:dyDescent="0.4">
      <c r="B8" s="6"/>
      <c r="C8" s="1" t="str">
        <f>IF(Tabulka1710132531374349556167[[#This Row],[ ]]="","",IF(Tabulka1710132531374349556167[[#This Row],[ ]]="NEÚČAST","",IF(OR(Tabulka1710132531374349556167[Výsledný čas]="N",Tabulka1710132531374349556167[Výsledný čas]="D"),$L$4-$L$5,_xlfn.RANK.EQ(Tabulka1710132531374349556167[[#This Row],[ ]],Tabulka1710132531374349556167[[ ]],1))))</f>
        <v/>
      </c>
      <c r="D8" s="7"/>
      <c r="E8" s="8"/>
      <c r="F8" s="8"/>
      <c r="G8" s="9" t="str">
        <f>IF(OR(Tabulka1710132531374349556167[[#This Row],[LP]]="N",Tabulka1710132531374349556167[[#This Row],[PP]]="N"),"N",IF(OR(Tabulka1710132531374349556167[[#This Row],[LP]]="D",Tabulka1710132531374349556167[[#This Row],[PP]]="D"),"D",IF(OR(Tabulka1710132531374349556167[[#This Row],[LP]]="NEÚČAST",Tabulka1710132531374349556167[[#This Row],[PP]]="NEÚČAST"),"NEÚČAST",IF(OR(Tabulka1710132531374349556167[[#This Row],[LP]]="",Tabulka1710132531374349556167[[#This Row],[PP]]=""),"",MAX(Tabulka1710132531374349556167[[#This Row],[LP]:[PP]])))))</f>
        <v/>
      </c>
      <c r="H8" s="1">
        <f>COUNTIF(Tabulka1710132531374349556167[[#This Row],[Tým]],"*")</f>
        <v>0</v>
      </c>
      <c r="I8" s="1">
        <f>COUNTIF(Tabulka1710132531374349556167[[#This Row],[Výsledný čas]],"NEÚČAST")</f>
        <v>0</v>
      </c>
      <c r="J8" s="1" t="str">
        <f>IF(Tabulka1710132531374349556167[[#This Row],[Výsledný čas]]="N",998,IF(Tabulka1710132531374349556167[[#This Row],[Výsledný čas]]="D",998,IF(Tabulka1710132531374349556167[[#This Row],[Výsledný čas]]="","",Tabulka1710132531374349556167[[#This Row],[Výsledný čas]])))</f>
        <v/>
      </c>
      <c r="N8" s="31"/>
      <c r="O8" s="25" t="str">
        <f>IF(Tabulka17101363036424854606672[[#This Row],[ ]]="","",IF(Tabulka17101363036424854606672[[#This Row],[ ]]="NEÚČAST","",IF(OR(Tabulka17101363036424854606672[Výsledný čas]="N",Tabulka17101363036424854606672[Výsledný čas]="D"),$X$4-$X$5,_xlfn.RANK.EQ(Tabulka17101363036424854606672[[#This Row],[ ]],Tabulka17101363036424854606672[[ ]],1))))</f>
        <v/>
      </c>
      <c r="P8" s="26"/>
      <c r="Q8" s="5"/>
      <c r="R8" s="5"/>
      <c r="S8" s="25" t="str">
        <f>IF(OR(Tabulka17101363036424854606672[[#This Row],[LP]]="N",Tabulka17101363036424854606672[[#This Row],[PP]]="N"),"N",IF(OR(Tabulka17101363036424854606672[[#This Row],[LP]]="D",Tabulka17101363036424854606672[[#This Row],[PP]]="D"),"D",IF(OR(Tabulka17101363036424854606672[[#This Row],[LP]]="NEÚČAST",Tabulka17101363036424854606672[[#This Row],[PP]]="NEÚČAST"),"NEÚČAST",IF(OR(Tabulka17101363036424854606672[[#This Row],[LP]]="",Tabulka17101363036424854606672[[#This Row],[PP]]=""),"",MAX(Tabulka17101363036424854606672[[#This Row],[LP]:[PP]])))))</f>
        <v/>
      </c>
      <c r="T8" s="46">
        <f>COUNTIF(Tabulka17101363036424854606672[[#This Row],[Tým]],"*")</f>
        <v>0</v>
      </c>
      <c r="U8" s="46">
        <f>COUNTIF(Tabulka17101363036424854606672[[#This Row],[Výsledný čas]],"NEÚČAST")</f>
        <v>0</v>
      </c>
      <c r="V8" s="29" t="str">
        <f>IF(Tabulka17101363036424854606672[[#This Row],[Výsledný čas]]="N",998,IF(Tabulka17101363036424854606672[[#This Row],[Výsledný čas]]="D",998,IF(Tabulka17101363036424854606672[[#This Row],[Výsledný čas]]="","",Tabulka17101363036424854606672[[#This Row],[Výsledný čas]])))</f>
        <v/>
      </c>
      <c r="Y8" s="15"/>
      <c r="Z8" s="31" t="e">
        <f>IF(OR(Tabulka3811142632384450566268[Výsledný čas]="N",Tabulka3811142632384450566268[Výsledný čas]="D",Tabulka3811142632384450566268[Výsledný čas]="NEÚČAST"),Uvod!$E$4,_xlfn.RANK.EQ(Tabulka3811142632384450566268[[#This Row],[ ]],Tabulka3811142632384450566268[[ ]],1))</f>
        <v>#N/A</v>
      </c>
      <c r="AA8" s="51" t="s">
        <v>11</v>
      </c>
      <c r="AB8" s="44" t="e">
        <f>VLOOKUP(Tabulka3811142632384450566268[[#This Row],[Tým]],Tabulka1710132531374349556167[[Tým]:[ ]],2,FALSE)</f>
        <v>#N/A</v>
      </c>
      <c r="AC8" s="44" t="e">
        <f>VLOOKUP(Tabulka3811142632384450566268[[#This Row],[Tým]],Tabulka1710132531374349556167[[Tým]:[ ]],3,FALSE)</f>
        <v>#N/A</v>
      </c>
      <c r="AD8" s="25" t="e">
        <f>VLOOKUP(Tabulka3811142632384450566268[[#This Row],[Tým]],Tabulka1710132531374349556167[[Tým]:[ ]],4,FALSE)</f>
        <v>#N/A</v>
      </c>
      <c r="AE8" s="25" t="e">
        <f>VLOOKUP(Tabulka3811142632384450566268[[#This Row],[Tým]],Tabulka1710132531374349556167[[Tým]:[ ]],5,FALSE)</f>
        <v>#N/A</v>
      </c>
      <c r="AF8" s="29" t="e">
        <f>IF(Tabulka3811142632384450566268[[#This Row],[Výsledný čas]]="N",5,IF(Tabulka3811142632384450566268[[#This Row],[Výsledný čas]]="D",0,IF(Tabulka3811142632384450566268[[#This Row],[Výsledný čas]]="NEÚČAST",0,Tabulka4[[#Totals],[Týmy muži]]+6-Tabulka3811142632384450566268[[#This Row],[Umístění]])))</f>
        <v>#N/A</v>
      </c>
      <c r="AH8" s="31" t="e">
        <f>_xlfn.RANK.EQ(Tabulka5912152733394551576369[[#This Row],[Body]],Tabulka5912152733394551576369[Body],0)</f>
        <v>#N/A</v>
      </c>
      <c r="AI8" s="51" t="s">
        <v>11</v>
      </c>
      <c r="AJ8" s="29" t="e">
        <f>VLOOKUP(Tabulka5912152733394551576369[[#This Row],[Tým]],Tabulka3811142632384450566268[[Tým]:[Body]],6,FALSE)+Tabulka5912152733394551576369[[#This Row],[ ]]</f>
        <v>#N/A</v>
      </c>
      <c r="AK8" s="82" t="e">
        <f>VLOOKUP(Tabulka5912152733394551576369[[#This Row],[Tým]],Tabulka59121527333945515763[[Tým]:[Body]],2,FALSE)</f>
        <v>#N/A</v>
      </c>
      <c r="AL8" s="47" t="e">
        <f>Tabulka5912152733394551576369[[#This Row],[Umístění]]</f>
        <v>#N/A</v>
      </c>
      <c r="AM8" s="15"/>
      <c r="AP8" s="1"/>
    </row>
    <row r="9" spans="1:42" ht="24.95" customHeight="1" x14ac:dyDescent="0.4">
      <c r="B9" s="11"/>
      <c r="C9" s="1" t="str">
        <f>IF(Tabulka1710132531374349556167[[#This Row],[ ]]="","",IF(Tabulka1710132531374349556167[[#This Row],[ ]]="NEÚČAST","",IF(OR(Tabulka1710132531374349556167[Výsledný čas]="N",Tabulka1710132531374349556167[Výsledný čas]="D"),$L$4-$L$5,_xlfn.RANK.EQ(Tabulka1710132531374349556167[[#This Row],[ ]],Tabulka1710132531374349556167[[ ]],1))))</f>
        <v/>
      </c>
      <c r="D9" s="7"/>
      <c r="E9" s="8"/>
      <c r="F9" s="8"/>
      <c r="G9" s="9" t="str">
        <f>IF(OR(Tabulka1710132531374349556167[[#This Row],[LP]]="N",Tabulka1710132531374349556167[[#This Row],[PP]]="N"),"N",IF(OR(Tabulka1710132531374349556167[[#This Row],[LP]]="D",Tabulka1710132531374349556167[[#This Row],[PP]]="D"),"D",IF(OR(Tabulka1710132531374349556167[[#This Row],[LP]]="NEÚČAST",Tabulka1710132531374349556167[[#This Row],[PP]]="NEÚČAST"),"NEÚČAST",IF(OR(Tabulka1710132531374349556167[[#This Row],[LP]]="",Tabulka1710132531374349556167[[#This Row],[PP]]=""),"",MAX(Tabulka1710132531374349556167[[#This Row],[LP]:[PP]])))))</f>
        <v/>
      </c>
      <c r="H9" s="1">
        <f>COUNTIF(Tabulka1710132531374349556167[[#This Row],[Tým]],"*")</f>
        <v>0</v>
      </c>
      <c r="I9" s="1">
        <f>COUNTIF(Tabulka1710132531374349556167[[#This Row],[Výsledný čas]],"NEÚČAST")</f>
        <v>0</v>
      </c>
      <c r="J9" s="1" t="str">
        <f>IF(Tabulka1710132531374349556167[[#This Row],[Výsledný čas]]="N",998,IF(Tabulka1710132531374349556167[[#This Row],[Výsledný čas]]="D",998,IF(Tabulka1710132531374349556167[[#This Row],[Výsledný čas]]="","",Tabulka1710132531374349556167[[#This Row],[Výsledný čas]])))</f>
        <v/>
      </c>
      <c r="N9" s="30"/>
      <c r="O9" s="25" t="str">
        <f>IF(Tabulka17101363036424854606672[[#This Row],[ ]]="","",IF(Tabulka17101363036424854606672[[#This Row],[ ]]="NEÚČAST","",IF(OR(Tabulka17101363036424854606672[Výsledný čas]="N",Tabulka17101363036424854606672[Výsledný čas]="D"),$X$4-$X$5,_xlfn.RANK.EQ(Tabulka17101363036424854606672[[#This Row],[ ]],Tabulka17101363036424854606672[[ ]],1))))</f>
        <v/>
      </c>
      <c r="P9" s="26"/>
      <c r="Q9" s="5"/>
      <c r="R9" s="5"/>
      <c r="S9" s="25" t="str">
        <f>IF(OR(Tabulka17101363036424854606672[[#This Row],[LP]]="N",Tabulka17101363036424854606672[[#This Row],[PP]]="N"),"N",IF(OR(Tabulka17101363036424854606672[[#This Row],[LP]]="D",Tabulka17101363036424854606672[[#This Row],[PP]]="D"),"D",IF(OR(Tabulka17101363036424854606672[[#This Row],[LP]]="NEÚČAST",Tabulka17101363036424854606672[[#This Row],[PP]]="NEÚČAST"),"NEÚČAST",IF(OR(Tabulka17101363036424854606672[[#This Row],[LP]]="",Tabulka17101363036424854606672[[#This Row],[PP]]=""),"",MAX(Tabulka17101363036424854606672[[#This Row],[LP]:[PP]])))))</f>
        <v/>
      </c>
      <c r="T9" s="46">
        <f>COUNTIF(Tabulka17101363036424854606672[[#This Row],[Tým]],"*")</f>
        <v>0</v>
      </c>
      <c r="U9" s="46">
        <f>COUNTIF(Tabulka17101363036424854606672[[#This Row],[Výsledný čas]],"NEÚČAST")</f>
        <v>0</v>
      </c>
      <c r="V9" s="29" t="str">
        <f>IF(Tabulka17101363036424854606672[[#This Row],[Výsledný čas]]="N",998,IF(Tabulka17101363036424854606672[[#This Row],[Výsledný čas]]="D",998,IF(Tabulka17101363036424854606672[[#This Row],[Výsledný čas]]="","",Tabulka17101363036424854606672[[#This Row],[Výsledný čas]])))</f>
        <v/>
      </c>
      <c r="Y9" s="15"/>
      <c r="Z9" s="31" t="e">
        <f>IF(OR(Tabulka3811142632384450566268[Výsledný čas]="N",Tabulka3811142632384450566268[Výsledný čas]="D",Tabulka3811142632384450566268[Výsledný čas]="NEÚČAST"),Uvod!$E$4,_xlfn.RANK.EQ(Tabulka3811142632384450566268[[#This Row],[ ]],Tabulka3811142632384450566268[[ ]],1))</f>
        <v>#N/A</v>
      </c>
      <c r="AA9" s="51" t="s">
        <v>15</v>
      </c>
      <c r="AB9" s="44" t="e">
        <f>VLOOKUP(Tabulka3811142632384450566268[[#This Row],[Tým]],Tabulka1710132531374349556167[[Tým]:[ ]],2,FALSE)</f>
        <v>#N/A</v>
      </c>
      <c r="AC9" s="44" t="e">
        <f>VLOOKUP(Tabulka3811142632384450566268[[#This Row],[Tým]],Tabulka1710132531374349556167[[Tým]:[ ]],3,FALSE)</f>
        <v>#N/A</v>
      </c>
      <c r="AD9" s="25" t="e">
        <f>VLOOKUP(Tabulka3811142632384450566268[[#This Row],[Tým]],Tabulka1710132531374349556167[[Tým]:[ ]],4,FALSE)</f>
        <v>#N/A</v>
      </c>
      <c r="AE9" s="25" t="e">
        <f>VLOOKUP(Tabulka3811142632384450566268[[#This Row],[Tým]],Tabulka1710132531374349556167[[Tým]:[ ]],5,FALSE)</f>
        <v>#N/A</v>
      </c>
      <c r="AF9" s="29" t="e">
        <f>IF(Tabulka3811142632384450566268[[#This Row],[Výsledný čas]]="N",5,IF(Tabulka3811142632384450566268[[#This Row],[Výsledný čas]]="D",0,IF(Tabulka3811142632384450566268[[#This Row],[Výsledný čas]]="NEÚČAST",0,Tabulka4[[#Totals],[Týmy muži]]+6-Tabulka3811142632384450566268[[#This Row],[Umístění]])))</f>
        <v>#N/A</v>
      </c>
      <c r="AH9" s="31" t="e">
        <f>_xlfn.RANK.EQ(Tabulka5912152733394551576369[[#This Row],[Body]],Tabulka5912152733394551576369[Body],0)</f>
        <v>#N/A</v>
      </c>
      <c r="AI9" s="51" t="s">
        <v>15</v>
      </c>
      <c r="AJ9" s="29" t="e">
        <f>VLOOKUP(Tabulka5912152733394551576369[[#This Row],[Tým]],Tabulka3811142632384450566268[[Tým]:[Body]],6,FALSE)+Tabulka5912152733394551576369[[#This Row],[ ]]</f>
        <v>#N/A</v>
      </c>
      <c r="AK9" s="82" t="e">
        <f>VLOOKUP(Tabulka5912152733394551576369[[#This Row],[Tým]],Tabulka59121527333945515763[[Tým]:[Body]],2,FALSE)</f>
        <v>#N/A</v>
      </c>
      <c r="AL9" s="47" t="e">
        <f>Tabulka5912152733394551576369[[#This Row],[Umístění]]</f>
        <v>#N/A</v>
      </c>
      <c r="AM9" s="15"/>
      <c r="AP9" s="1"/>
    </row>
    <row r="10" spans="1:42" ht="24.95" customHeight="1" x14ac:dyDescent="0.4">
      <c r="B10" s="6"/>
      <c r="C10" s="1" t="str">
        <f>IF(Tabulka1710132531374349556167[[#This Row],[ ]]="","",IF(Tabulka1710132531374349556167[[#This Row],[ ]]="NEÚČAST","",IF(OR(Tabulka1710132531374349556167[Výsledný čas]="N",Tabulka1710132531374349556167[Výsledný čas]="D"),$L$4-$L$5,_xlfn.RANK.EQ(Tabulka1710132531374349556167[[#This Row],[ ]],Tabulka1710132531374349556167[[ ]],1))))</f>
        <v/>
      </c>
      <c r="D10" s="7"/>
      <c r="E10" s="8"/>
      <c r="F10" s="8"/>
      <c r="G10" s="9" t="str">
        <f>IF(OR(Tabulka1710132531374349556167[[#This Row],[LP]]="N",Tabulka1710132531374349556167[[#This Row],[PP]]="N"),"N",IF(OR(Tabulka1710132531374349556167[[#This Row],[LP]]="D",Tabulka1710132531374349556167[[#This Row],[PP]]="D"),"D",IF(OR(Tabulka1710132531374349556167[[#This Row],[LP]]="NEÚČAST",Tabulka1710132531374349556167[[#This Row],[PP]]="NEÚČAST"),"NEÚČAST",IF(OR(Tabulka1710132531374349556167[[#This Row],[LP]]="",Tabulka1710132531374349556167[[#This Row],[PP]]=""),"",MAX(Tabulka1710132531374349556167[[#This Row],[LP]:[PP]])))))</f>
        <v/>
      </c>
      <c r="H10" s="1">
        <f>COUNTIF(Tabulka1710132531374349556167[[#This Row],[Tým]],"*")</f>
        <v>0</v>
      </c>
      <c r="I10" s="1">
        <f>COUNTIF(Tabulka1710132531374349556167[[#This Row],[Výsledný čas]],"NEÚČAST")</f>
        <v>0</v>
      </c>
      <c r="J10" s="1" t="str">
        <f>IF(Tabulka1710132531374349556167[[#This Row],[Výsledný čas]]="N",998,IF(Tabulka1710132531374349556167[[#This Row],[Výsledný čas]]="D",998,IF(Tabulka1710132531374349556167[[#This Row],[Výsledný čas]]="","",Tabulka1710132531374349556167[[#This Row],[Výsledný čas]])))</f>
        <v/>
      </c>
      <c r="N10" s="30"/>
      <c r="O10" s="25" t="str">
        <f>IF(Tabulka17101363036424854606672[[#This Row],[ ]]="","",IF(Tabulka17101363036424854606672[[#This Row],[ ]]="NEÚČAST","",IF(OR(Tabulka17101363036424854606672[Výsledný čas]="N",Tabulka17101363036424854606672[Výsledný čas]="D"),$X$4-$X$5,_xlfn.RANK.EQ(Tabulka17101363036424854606672[[#This Row],[ ]],Tabulka17101363036424854606672[[ ]],1))))</f>
        <v/>
      </c>
      <c r="P10" s="26"/>
      <c r="Q10" s="5"/>
      <c r="R10" s="5"/>
      <c r="S10" s="25" t="str">
        <f>IF(OR(Tabulka17101363036424854606672[[#This Row],[LP]]="N",Tabulka17101363036424854606672[[#This Row],[PP]]="N"),"N",IF(OR(Tabulka17101363036424854606672[[#This Row],[LP]]="D",Tabulka17101363036424854606672[[#This Row],[PP]]="D"),"D",IF(OR(Tabulka17101363036424854606672[[#This Row],[LP]]="NEÚČAST",Tabulka17101363036424854606672[[#This Row],[PP]]="NEÚČAST"),"NEÚČAST",IF(OR(Tabulka17101363036424854606672[[#This Row],[LP]]="",Tabulka17101363036424854606672[[#This Row],[PP]]=""),"",MAX(Tabulka17101363036424854606672[[#This Row],[LP]:[PP]])))))</f>
        <v/>
      </c>
      <c r="T10" s="46">
        <f>COUNTIF(Tabulka17101363036424854606672[[#This Row],[Tým]],"*")</f>
        <v>0</v>
      </c>
      <c r="U10" s="46">
        <f>COUNTIF(Tabulka17101363036424854606672[[#This Row],[Výsledný čas]],"NEÚČAST")</f>
        <v>0</v>
      </c>
      <c r="V10" s="29" t="str">
        <f>IF(Tabulka17101363036424854606672[[#This Row],[Výsledný čas]]="N",998,IF(Tabulka17101363036424854606672[[#This Row],[Výsledný čas]]="D",998,IF(Tabulka17101363036424854606672[[#This Row],[Výsledný čas]]="","",Tabulka17101363036424854606672[[#This Row],[Výsledný čas]])))</f>
        <v/>
      </c>
      <c r="Y10" s="15"/>
      <c r="Z10" s="31" t="e">
        <f>IF(OR(Tabulka3811142632384450566268[Výsledný čas]="N",Tabulka3811142632384450566268[Výsledný čas]="D",Tabulka3811142632384450566268[Výsledný čas]="NEÚČAST"),Uvod!$E$4,_xlfn.RANK.EQ(Tabulka3811142632384450566268[[#This Row],[ ]],Tabulka3811142632384450566268[[ ]],1))</f>
        <v>#N/A</v>
      </c>
      <c r="AA10" s="51" t="s">
        <v>10</v>
      </c>
      <c r="AB10" s="44" t="e">
        <f>VLOOKUP(Tabulka3811142632384450566268[[#This Row],[Tým]],Tabulka1710132531374349556167[[Tým]:[ ]],2,FALSE)</f>
        <v>#N/A</v>
      </c>
      <c r="AC10" s="44" t="e">
        <f>VLOOKUP(Tabulka3811142632384450566268[[#This Row],[Tým]],Tabulka1710132531374349556167[[Tým]:[ ]],3,FALSE)</f>
        <v>#N/A</v>
      </c>
      <c r="AD10" s="25" t="e">
        <f>VLOOKUP(Tabulka3811142632384450566268[[#This Row],[Tým]],Tabulka1710132531374349556167[[Tým]:[ ]],4,FALSE)</f>
        <v>#N/A</v>
      </c>
      <c r="AE10" s="25" t="e">
        <f>VLOOKUP(Tabulka3811142632384450566268[[#This Row],[Tým]],Tabulka1710132531374349556167[[Tým]:[ ]],5,FALSE)</f>
        <v>#N/A</v>
      </c>
      <c r="AF10" s="29" t="e">
        <f>IF(Tabulka3811142632384450566268[[#This Row],[Výsledný čas]]="N",5,IF(Tabulka3811142632384450566268[[#This Row],[Výsledný čas]]="D",0,IF(Tabulka3811142632384450566268[[#This Row],[Výsledný čas]]="NEÚČAST",0,Tabulka4[[#Totals],[Týmy muži]]+6-Tabulka3811142632384450566268[[#This Row],[Umístění]])))</f>
        <v>#N/A</v>
      </c>
      <c r="AH10" s="31" t="e">
        <f>_xlfn.RANK.EQ(Tabulka5912152733394551576369[[#This Row],[Body]],Tabulka5912152733394551576369[Body],0)</f>
        <v>#N/A</v>
      </c>
      <c r="AI10" s="51" t="s">
        <v>10</v>
      </c>
      <c r="AJ10" s="29" t="e">
        <f>VLOOKUP(Tabulka5912152733394551576369[[#This Row],[Tým]],Tabulka3811142632384450566268[[Tým]:[Body]],6,FALSE)+Tabulka5912152733394551576369[[#This Row],[ ]]</f>
        <v>#N/A</v>
      </c>
      <c r="AK10" s="82" t="e">
        <f>VLOOKUP(Tabulka5912152733394551576369[[#This Row],[Tým]],Tabulka59121527333945515763[[Tým]:[Body]],2,FALSE)</f>
        <v>#N/A</v>
      </c>
      <c r="AL10" s="47" t="e">
        <f>Tabulka5912152733394551576369[[#This Row],[Umístění]]</f>
        <v>#N/A</v>
      </c>
      <c r="AM10" s="15"/>
      <c r="AP10" s="1"/>
    </row>
    <row r="11" spans="1:42" ht="24.95" customHeight="1" x14ac:dyDescent="0.4">
      <c r="B11" s="6"/>
      <c r="C11" s="1" t="str">
        <f>IF(Tabulka1710132531374349556167[[#This Row],[ ]]="","",IF(Tabulka1710132531374349556167[[#This Row],[ ]]="NEÚČAST","",IF(OR(Tabulka1710132531374349556167[Výsledný čas]="N",Tabulka1710132531374349556167[Výsledný čas]="D"),$L$4-$L$5,_xlfn.RANK.EQ(Tabulka1710132531374349556167[[#This Row],[ ]],Tabulka1710132531374349556167[[ ]],1))))</f>
        <v/>
      </c>
      <c r="D11" s="7"/>
      <c r="E11" s="8"/>
      <c r="F11" s="8"/>
      <c r="G11" s="9" t="str">
        <f>IF(OR(Tabulka1710132531374349556167[[#This Row],[LP]]="N",Tabulka1710132531374349556167[[#This Row],[PP]]="N"),"N",IF(OR(Tabulka1710132531374349556167[[#This Row],[LP]]="D",Tabulka1710132531374349556167[[#This Row],[PP]]="D"),"D",IF(OR(Tabulka1710132531374349556167[[#This Row],[LP]]="NEÚČAST",Tabulka1710132531374349556167[[#This Row],[PP]]="NEÚČAST"),"NEÚČAST",IF(OR(Tabulka1710132531374349556167[[#This Row],[LP]]="",Tabulka1710132531374349556167[[#This Row],[PP]]=""),"",MAX(Tabulka1710132531374349556167[[#This Row],[LP]:[PP]])))))</f>
        <v/>
      </c>
      <c r="H11" s="1">
        <f>COUNTIF(Tabulka1710132531374349556167[[#This Row],[Tým]],"*")</f>
        <v>0</v>
      </c>
      <c r="I11" s="1">
        <f>COUNTIF(Tabulka1710132531374349556167[[#This Row],[Výsledný čas]],"NEÚČAST")</f>
        <v>0</v>
      </c>
      <c r="J11" s="1" t="str">
        <f>IF(Tabulka1710132531374349556167[[#This Row],[Výsledný čas]]="N",998,IF(Tabulka1710132531374349556167[[#This Row],[Výsledný čas]]="D",998,IF(Tabulka1710132531374349556167[[#This Row],[Výsledný čas]]="","",Tabulka1710132531374349556167[[#This Row],[Výsledný čas]])))</f>
        <v/>
      </c>
      <c r="N11" s="30"/>
      <c r="O11" s="25" t="str">
        <f>IF(Tabulka17101363036424854606672[[#This Row],[ ]]="","",IF(Tabulka17101363036424854606672[[#This Row],[ ]]="NEÚČAST","",IF(OR(Tabulka17101363036424854606672[Výsledný čas]="N",Tabulka17101363036424854606672[Výsledný čas]="D"),$X$4-$X$5,_xlfn.RANK.EQ(Tabulka17101363036424854606672[[#This Row],[ ]],Tabulka17101363036424854606672[[ ]],1))))</f>
        <v/>
      </c>
      <c r="P11" s="26"/>
      <c r="Q11" s="5"/>
      <c r="R11" s="5"/>
      <c r="S11" s="25" t="str">
        <f>IF(OR(Tabulka17101363036424854606672[[#This Row],[LP]]="N",Tabulka17101363036424854606672[[#This Row],[PP]]="N"),"N",IF(OR(Tabulka17101363036424854606672[[#This Row],[LP]]="D",Tabulka17101363036424854606672[[#This Row],[PP]]="D"),"D",IF(OR(Tabulka17101363036424854606672[[#This Row],[LP]]="NEÚČAST",Tabulka17101363036424854606672[[#This Row],[PP]]="NEÚČAST"),"NEÚČAST",IF(OR(Tabulka17101363036424854606672[[#This Row],[LP]]="",Tabulka17101363036424854606672[[#This Row],[PP]]=""),"",MAX(Tabulka17101363036424854606672[[#This Row],[LP]:[PP]])))))</f>
        <v/>
      </c>
      <c r="T11" s="46">
        <f>COUNTIF(Tabulka17101363036424854606672[[#This Row],[Tým]],"*")</f>
        <v>0</v>
      </c>
      <c r="U11" s="46">
        <f>COUNTIF(Tabulka17101363036424854606672[[#This Row],[Výsledný čas]],"NEÚČAST")</f>
        <v>0</v>
      </c>
      <c r="V11" s="29" t="str">
        <f>IF(Tabulka17101363036424854606672[[#This Row],[Výsledný čas]]="N",998,IF(Tabulka17101363036424854606672[[#This Row],[Výsledný čas]]="D",998,IF(Tabulka17101363036424854606672[[#This Row],[Výsledný čas]]="","",Tabulka17101363036424854606672[[#This Row],[Výsledný čas]])))</f>
        <v/>
      </c>
      <c r="Y11" s="15"/>
      <c r="Z11" s="31" t="e">
        <f>IF(OR(Tabulka3811142632384450566268[Výsledný čas]="N",Tabulka3811142632384450566268[Výsledný čas]="D",Tabulka3811142632384450566268[Výsledný čas]="NEÚČAST"),Uvod!$E$4,_xlfn.RANK.EQ(Tabulka3811142632384450566268[[#This Row],[ ]],Tabulka3811142632384450566268[[ ]],1))</f>
        <v>#N/A</v>
      </c>
      <c r="AA11" s="51" t="s">
        <v>18</v>
      </c>
      <c r="AB11" s="44" t="e">
        <f>VLOOKUP(Tabulka3811142632384450566268[[#This Row],[Tým]],Tabulka1710132531374349556167[[Tým]:[ ]],2,FALSE)</f>
        <v>#N/A</v>
      </c>
      <c r="AC11" s="44" t="e">
        <f>VLOOKUP(Tabulka3811142632384450566268[[#This Row],[Tým]],Tabulka1710132531374349556167[[Tým]:[ ]],3,FALSE)</f>
        <v>#N/A</v>
      </c>
      <c r="AD11" s="25" t="e">
        <f>VLOOKUP(Tabulka3811142632384450566268[[#This Row],[Tým]],Tabulka1710132531374349556167[[Tým]:[ ]],4,FALSE)</f>
        <v>#N/A</v>
      </c>
      <c r="AE11" s="25" t="e">
        <f>VLOOKUP(Tabulka3811142632384450566268[[#This Row],[Tým]],Tabulka1710132531374349556167[[Tým]:[ ]],5,FALSE)</f>
        <v>#N/A</v>
      </c>
      <c r="AF11" s="29" t="e">
        <f>IF(Tabulka3811142632384450566268[[#This Row],[Výsledný čas]]="N",5,IF(Tabulka3811142632384450566268[[#This Row],[Výsledný čas]]="D",0,IF(Tabulka3811142632384450566268[[#This Row],[Výsledný čas]]="NEÚČAST",0,Tabulka4[[#Totals],[Týmy muži]]+6-Tabulka3811142632384450566268[[#This Row],[Umístění]])))</f>
        <v>#N/A</v>
      </c>
      <c r="AH11" s="31" t="e">
        <f>_xlfn.RANK.EQ(Tabulka5912152733394551576369[[#This Row],[Body]],Tabulka5912152733394551576369[Body],0)</f>
        <v>#N/A</v>
      </c>
      <c r="AI11" s="51" t="s">
        <v>18</v>
      </c>
      <c r="AJ11" s="29" t="e">
        <f>VLOOKUP(Tabulka5912152733394551576369[[#This Row],[Tým]],Tabulka3811142632384450566268[[Tým]:[Body]],6,FALSE)+Tabulka5912152733394551576369[[#This Row],[ ]]</f>
        <v>#N/A</v>
      </c>
      <c r="AK11" s="82" t="e">
        <f>VLOOKUP(Tabulka5912152733394551576369[[#This Row],[Tým]],Tabulka59121527333945515763[[Tým]:[Body]],2,FALSE)</f>
        <v>#N/A</v>
      </c>
      <c r="AL11" s="47" t="e">
        <f>Tabulka5912152733394551576369[[#This Row],[Umístění]]</f>
        <v>#N/A</v>
      </c>
      <c r="AM11" s="15"/>
      <c r="AP11" s="1"/>
    </row>
    <row r="12" spans="1:42" ht="24.95" customHeight="1" x14ac:dyDescent="0.4">
      <c r="B12" s="6"/>
      <c r="C12" s="1" t="str">
        <f>IF(Tabulka1710132531374349556167[[#This Row],[ ]]="","",IF(Tabulka1710132531374349556167[[#This Row],[ ]]="NEÚČAST","",IF(OR(Tabulka1710132531374349556167[Výsledný čas]="N",Tabulka1710132531374349556167[Výsledný čas]="D"),$L$4-$L$5,_xlfn.RANK.EQ(Tabulka1710132531374349556167[[#This Row],[ ]],Tabulka1710132531374349556167[[ ]],1))))</f>
        <v/>
      </c>
      <c r="D12" s="7"/>
      <c r="E12" s="8"/>
      <c r="F12" s="8"/>
      <c r="G12" s="9" t="str">
        <f>IF(OR(Tabulka1710132531374349556167[[#This Row],[LP]]="N",Tabulka1710132531374349556167[[#This Row],[PP]]="N"),"N",IF(OR(Tabulka1710132531374349556167[[#This Row],[LP]]="D",Tabulka1710132531374349556167[[#This Row],[PP]]="D"),"D",IF(OR(Tabulka1710132531374349556167[[#This Row],[LP]]="NEÚČAST",Tabulka1710132531374349556167[[#This Row],[PP]]="NEÚČAST"),"NEÚČAST",IF(OR(Tabulka1710132531374349556167[[#This Row],[LP]]="",Tabulka1710132531374349556167[[#This Row],[PP]]=""),"",MAX(Tabulka1710132531374349556167[[#This Row],[LP]:[PP]])))))</f>
        <v/>
      </c>
      <c r="H12" s="1">
        <f>COUNTIF(Tabulka1710132531374349556167[[#This Row],[Tým]],"*")</f>
        <v>0</v>
      </c>
      <c r="I12" s="1">
        <f>COUNTIF(Tabulka1710132531374349556167[[#This Row],[Výsledný čas]],"NEÚČAST")</f>
        <v>0</v>
      </c>
      <c r="J12" s="1" t="str">
        <f>IF(Tabulka1710132531374349556167[[#This Row],[Výsledný čas]]="N",998,IF(Tabulka1710132531374349556167[[#This Row],[Výsledný čas]]="D",998,IF(Tabulka1710132531374349556167[[#This Row],[Výsledný čas]]="","",Tabulka1710132531374349556167[[#This Row],[Výsledný čas]])))</f>
        <v/>
      </c>
      <c r="N12" s="58"/>
      <c r="O12" s="59" t="str">
        <f>IF(Tabulka17101363036424854606672[[#This Row],[ ]]="","",IF(Tabulka17101363036424854606672[[#This Row],[ ]]="NEÚČAST","",IF(OR(Tabulka17101363036424854606672[Výsledný čas]="N",Tabulka17101363036424854606672[Výsledný čas]="D"),$X$4-$X$5,_xlfn.RANK.EQ(Tabulka17101363036424854606672[[#This Row],[ ]],Tabulka17101363036424854606672[[ ]],1))))</f>
        <v/>
      </c>
      <c r="P12" s="89"/>
      <c r="Q12" s="90"/>
      <c r="R12" s="90"/>
      <c r="S12" s="59" t="str">
        <f>IF(OR(Tabulka17101363036424854606672[[#This Row],[LP]]="N",Tabulka17101363036424854606672[[#This Row],[PP]]="N"),"N",IF(OR(Tabulka17101363036424854606672[[#This Row],[LP]]="D",Tabulka17101363036424854606672[[#This Row],[PP]]="D"),"D",IF(OR(Tabulka17101363036424854606672[[#This Row],[LP]]="NEÚČAST",Tabulka17101363036424854606672[[#This Row],[PP]]="NEÚČAST"),"NEÚČAST",IF(OR(Tabulka17101363036424854606672[[#This Row],[LP]]="",Tabulka17101363036424854606672[[#This Row],[PP]]=""),"",MAX(Tabulka17101363036424854606672[[#This Row],[LP]:[PP]])))))</f>
        <v/>
      </c>
      <c r="T12" s="158">
        <f>COUNTIF(Tabulka17101363036424854606672[[#This Row],[Tým]],"*")</f>
        <v>0</v>
      </c>
      <c r="U12" s="158">
        <f>COUNTIF(Tabulka17101363036424854606672[[#This Row],[Výsledný čas]],"NEÚČAST")</f>
        <v>0</v>
      </c>
      <c r="V12" s="60" t="str">
        <f>IF(Tabulka17101363036424854606672[[#This Row],[Výsledný čas]]="N",998,IF(Tabulka17101363036424854606672[[#This Row],[Výsledný čas]]="D",998,IF(Tabulka17101363036424854606672[[#This Row],[Výsledný čas]]="","",Tabulka17101363036424854606672[[#This Row],[Výsledný čas]])))</f>
        <v/>
      </c>
      <c r="Y12" s="15"/>
      <c r="Z12" s="31" t="e">
        <f>IF(OR(Tabulka3811142632384450566268[Výsledný čas]="N",Tabulka3811142632384450566268[Výsledný čas]="D",Tabulka3811142632384450566268[Výsledný čas]="NEÚČAST"),Uvod!$E$4,_xlfn.RANK.EQ(Tabulka3811142632384450566268[[#This Row],[ ]],Tabulka3811142632384450566268[[ ]],1))</f>
        <v>#N/A</v>
      </c>
      <c r="AA12" s="51" t="s">
        <v>23</v>
      </c>
      <c r="AB12" s="44" t="e">
        <f>VLOOKUP(Tabulka3811142632384450566268[[#This Row],[Tým]],Tabulka1710132531374349556167[[Tým]:[ ]],2,FALSE)</f>
        <v>#N/A</v>
      </c>
      <c r="AC12" s="44" t="e">
        <f>VLOOKUP(Tabulka3811142632384450566268[[#This Row],[Tým]],Tabulka1710132531374349556167[[Tým]:[ ]],3,FALSE)</f>
        <v>#N/A</v>
      </c>
      <c r="AD12" s="25" t="e">
        <f>VLOOKUP(Tabulka3811142632384450566268[[#This Row],[Tým]],Tabulka1710132531374349556167[[Tým]:[ ]],4,FALSE)</f>
        <v>#N/A</v>
      </c>
      <c r="AE12" s="25" t="e">
        <f>VLOOKUP(Tabulka3811142632384450566268[[#This Row],[Tým]],Tabulka1710132531374349556167[[Tým]:[ ]],5,FALSE)</f>
        <v>#N/A</v>
      </c>
      <c r="AF12" s="29" t="e">
        <f>IF(Tabulka3811142632384450566268[[#This Row],[Výsledný čas]]="N",5,IF(Tabulka3811142632384450566268[[#This Row],[Výsledný čas]]="D",0,IF(Tabulka3811142632384450566268[[#This Row],[Výsledný čas]]="NEÚČAST",0,Tabulka4[[#Totals],[Týmy muži]]+6-Tabulka3811142632384450566268[[#This Row],[Umístění]])))</f>
        <v>#N/A</v>
      </c>
      <c r="AH12" s="31" t="e">
        <f>_xlfn.RANK.EQ(Tabulka5912152733394551576369[[#This Row],[Body]],Tabulka5912152733394551576369[Body],0)</f>
        <v>#N/A</v>
      </c>
      <c r="AI12" s="51" t="s">
        <v>23</v>
      </c>
      <c r="AJ12" s="29" t="e">
        <f>VLOOKUP(Tabulka5912152733394551576369[[#This Row],[Tým]],Tabulka3811142632384450566268[[Tým]:[Body]],6,FALSE)+Tabulka5912152733394551576369[[#This Row],[ ]]</f>
        <v>#N/A</v>
      </c>
      <c r="AK12" s="82" t="e">
        <f>VLOOKUP(Tabulka5912152733394551576369[[#This Row],[Tým]],Tabulka59121527333945515763[[Tým]:[Body]],2,FALSE)</f>
        <v>#N/A</v>
      </c>
      <c r="AL12" s="47" t="e">
        <f>Tabulka5912152733394551576369[[#This Row],[Umístění]]</f>
        <v>#N/A</v>
      </c>
      <c r="AM12" s="15"/>
      <c r="AP12" s="1"/>
    </row>
    <row r="13" spans="1:42" ht="24.95" customHeight="1" x14ac:dyDescent="0.4">
      <c r="B13" s="6"/>
      <c r="C13" s="1" t="str">
        <f>IF(Tabulka1710132531374349556167[[#This Row],[ ]]="","",IF(Tabulka1710132531374349556167[[#This Row],[ ]]="NEÚČAST","",IF(OR(Tabulka1710132531374349556167[Výsledný čas]="N",Tabulka1710132531374349556167[Výsledný čas]="D"),$L$4-$L$5,_xlfn.RANK.EQ(Tabulka1710132531374349556167[[#This Row],[ ]],Tabulka1710132531374349556167[[ ]],1))))</f>
        <v/>
      </c>
      <c r="D13" s="7"/>
      <c r="E13" s="8"/>
      <c r="F13" s="8"/>
      <c r="G13" s="9" t="str">
        <f>IF(OR(Tabulka1710132531374349556167[[#This Row],[LP]]="N",Tabulka1710132531374349556167[[#This Row],[PP]]="N"),"N",IF(OR(Tabulka1710132531374349556167[[#This Row],[LP]]="D",Tabulka1710132531374349556167[[#This Row],[PP]]="D"),"D",IF(OR(Tabulka1710132531374349556167[[#This Row],[LP]]="NEÚČAST",Tabulka1710132531374349556167[[#This Row],[PP]]="NEÚČAST"),"NEÚČAST",IF(OR(Tabulka1710132531374349556167[[#This Row],[LP]]="",Tabulka1710132531374349556167[[#This Row],[PP]]=""),"",MAX(Tabulka1710132531374349556167[[#This Row],[LP]:[PP]])))))</f>
        <v/>
      </c>
      <c r="H13" s="1">
        <f>COUNTIF(Tabulka1710132531374349556167[[#This Row],[Tým]],"*")</f>
        <v>0</v>
      </c>
      <c r="I13" s="1">
        <f>COUNTIF(Tabulka1710132531374349556167[[#This Row],[Výsledný čas]],"NEÚČAST")</f>
        <v>0</v>
      </c>
      <c r="J13" s="1" t="str">
        <f>IF(Tabulka1710132531374349556167[[#This Row],[Výsledný čas]]="N",998,IF(Tabulka1710132531374349556167[[#This Row],[Výsledný čas]]="D",998,IF(Tabulka1710132531374349556167[[#This Row],[Výsledný čas]]="","",Tabulka1710132531374349556167[[#This Row],[Výsledný čas]])))</f>
        <v/>
      </c>
      <c r="P13" s="7"/>
      <c r="Q13" s="8"/>
      <c r="R13" s="8"/>
      <c r="Z13" s="31" t="e">
        <f>IF(OR(Tabulka3811142632384450566268[Výsledný čas]="N",Tabulka3811142632384450566268[Výsledný čas]="D",Tabulka3811142632384450566268[Výsledný čas]="NEÚČAST"),Uvod!$E$4,_xlfn.RANK.EQ(Tabulka3811142632384450566268[[#This Row],[ ]],Tabulka3811142632384450566268[[ ]],1))</f>
        <v>#N/A</v>
      </c>
      <c r="AA13" s="51" t="s">
        <v>6</v>
      </c>
      <c r="AB13" s="44" t="e">
        <f>VLOOKUP(Tabulka3811142632384450566268[[#This Row],[Tým]],Tabulka1710132531374349556167[[Tým]:[ ]],2,FALSE)</f>
        <v>#N/A</v>
      </c>
      <c r="AC13" s="44" t="e">
        <f>VLOOKUP(Tabulka3811142632384450566268[[#This Row],[Tým]],Tabulka1710132531374349556167[[Tým]:[ ]],3,FALSE)</f>
        <v>#N/A</v>
      </c>
      <c r="AD13" s="25" t="e">
        <f>VLOOKUP(Tabulka3811142632384450566268[[#This Row],[Tým]],Tabulka1710132531374349556167[[Tým]:[ ]],4,FALSE)</f>
        <v>#N/A</v>
      </c>
      <c r="AE13" s="25" t="e">
        <f>VLOOKUP(Tabulka3811142632384450566268[[#This Row],[Tým]],Tabulka1710132531374349556167[[Tým]:[ ]],5,FALSE)</f>
        <v>#N/A</v>
      </c>
      <c r="AF13" s="29" t="e">
        <f>IF(Tabulka3811142632384450566268[[#This Row],[Výsledný čas]]="N",5,IF(Tabulka3811142632384450566268[[#This Row],[Výsledný čas]]="D",0,IF(Tabulka3811142632384450566268[[#This Row],[Výsledný čas]]="NEÚČAST",0,Tabulka4[[#Totals],[Týmy muži]]+6-Tabulka3811142632384450566268[[#This Row],[Umístění]])))</f>
        <v>#N/A</v>
      </c>
      <c r="AH13" s="31" t="e">
        <f>_xlfn.RANK.EQ(Tabulka5912152733394551576369[[#This Row],[Body]],Tabulka5912152733394551576369[Body],0)</f>
        <v>#N/A</v>
      </c>
      <c r="AI13" s="51" t="s">
        <v>6</v>
      </c>
      <c r="AJ13" s="29" t="e">
        <f>VLOOKUP(Tabulka5912152733394551576369[[#This Row],[Tým]],Tabulka3811142632384450566268[[Tým]:[Body]],6,FALSE)+Tabulka5912152733394551576369[[#This Row],[ ]]</f>
        <v>#N/A</v>
      </c>
      <c r="AK13" s="82" t="e">
        <f>VLOOKUP(Tabulka5912152733394551576369[[#This Row],[Tým]],Tabulka59121527333945515763[[Tým]:[Body]],2,FALSE)</f>
        <v>#N/A</v>
      </c>
      <c r="AL13" s="47" t="e">
        <f>Tabulka5912152733394551576369[[#This Row],[Umístění]]</f>
        <v>#N/A</v>
      </c>
      <c r="AM13" s="15"/>
      <c r="AP13" s="1"/>
    </row>
    <row r="14" spans="1:42" ht="24.95" customHeight="1" x14ac:dyDescent="0.4">
      <c r="B14" s="6"/>
      <c r="C14" s="1" t="str">
        <f>IF(Tabulka1710132531374349556167[[#This Row],[ ]]="","",IF(Tabulka1710132531374349556167[[#This Row],[ ]]="NEÚČAST","",IF(OR(Tabulka1710132531374349556167[Výsledný čas]="N",Tabulka1710132531374349556167[Výsledný čas]="D"),$L$4-$L$5,_xlfn.RANK.EQ(Tabulka1710132531374349556167[[#This Row],[ ]],Tabulka1710132531374349556167[[ ]],1))))</f>
        <v/>
      </c>
      <c r="D14" s="7"/>
      <c r="E14" s="8"/>
      <c r="F14" s="8"/>
      <c r="G14" s="9" t="str">
        <f>IF(OR(Tabulka1710132531374349556167[[#This Row],[LP]]="N",Tabulka1710132531374349556167[[#This Row],[PP]]="N"),"N",IF(OR(Tabulka1710132531374349556167[[#This Row],[LP]]="D",Tabulka1710132531374349556167[[#This Row],[PP]]="D"),"D",IF(OR(Tabulka1710132531374349556167[[#This Row],[LP]]="NEÚČAST",Tabulka1710132531374349556167[[#This Row],[PP]]="NEÚČAST"),"NEÚČAST",IF(OR(Tabulka1710132531374349556167[[#This Row],[LP]]="",Tabulka1710132531374349556167[[#This Row],[PP]]=""),"",MAX(Tabulka1710132531374349556167[[#This Row],[LP]:[PP]])))))</f>
        <v/>
      </c>
      <c r="H14" s="1">
        <f>COUNTIF(Tabulka1710132531374349556167[[#This Row],[Tým]],"*")</f>
        <v>0</v>
      </c>
      <c r="I14" s="1">
        <f>COUNTIF(Tabulka1710132531374349556167[[#This Row],[Výsledný čas]],"NEÚČAST")</f>
        <v>0</v>
      </c>
      <c r="J14" s="1" t="str">
        <f>IF(Tabulka1710132531374349556167[[#This Row],[Výsledný čas]]="N",998,IF(Tabulka1710132531374349556167[[#This Row],[Výsledný čas]]="D",998,IF(Tabulka1710132531374349556167[[#This Row],[Výsledný čas]]="","",Tabulka1710132531374349556167[[#This Row],[Výsledný čas]])))</f>
        <v/>
      </c>
      <c r="N14" s="68"/>
      <c r="P14" s="7"/>
      <c r="Q14" s="8"/>
      <c r="R14" s="8"/>
      <c r="Z14" s="31" t="e">
        <f>IF(OR(Tabulka3811142632384450566268[Výsledný čas]="N",Tabulka3811142632384450566268[Výsledný čas]="D",Tabulka3811142632384450566268[Výsledný čas]="NEÚČAST"),Uvod!$E$4,_xlfn.RANK.EQ(Tabulka3811142632384450566268[[#This Row],[ ]],Tabulka3811142632384450566268[[ ]],1))</f>
        <v>#N/A</v>
      </c>
      <c r="AA14" s="51" t="s">
        <v>31</v>
      </c>
      <c r="AB14" s="44" t="e">
        <f>VLOOKUP(Tabulka3811142632384450566268[[#This Row],[Tým]],Tabulka1710132531374349556167[[Tým]:[ ]],2,FALSE)</f>
        <v>#N/A</v>
      </c>
      <c r="AC14" s="44" t="e">
        <f>VLOOKUP(Tabulka3811142632384450566268[[#This Row],[Tým]],Tabulka1710132531374349556167[[Tým]:[ ]],3,FALSE)</f>
        <v>#N/A</v>
      </c>
      <c r="AD14" s="25" t="e">
        <f>VLOOKUP(Tabulka3811142632384450566268[[#This Row],[Tým]],Tabulka1710132531374349556167[[Tým]:[ ]],4,FALSE)</f>
        <v>#N/A</v>
      </c>
      <c r="AE14" s="25" t="e">
        <f>VLOOKUP(Tabulka3811142632384450566268[[#This Row],[Tým]],Tabulka1710132531374349556167[[Tým]:[ ]],5,FALSE)</f>
        <v>#N/A</v>
      </c>
      <c r="AF14" s="29" t="e">
        <f>IF(Tabulka3811142632384450566268[[#This Row],[Výsledný čas]]="N",5,IF(Tabulka3811142632384450566268[[#This Row],[Výsledný čas]]="D",0,IF(Tabulka3811142632384450566268[[#This Row],[Výsledný čas]]="NEÚČAST",0,Tabulka4[[#Totals],[Týmy muži]]+6-Tabulka3811142632384450566268[[#This Row],[Umístění]])))</f>
        <v>#N/A</v>
      </c>
      <c r="AH14" s="31" t="e">
        <f>_xlfn.RANK.EQ(Tabulka5912152733394551576369[[#This Row],[Body]],Tabulka5912152733394551576369[Body],0)</f>
        <v>#N/A</v>
      </c>
      <c r="AI14" s="51" t="s">
        <v>31</v>
      </c>
      <c r="AJ14" s="29" t="e">
        <f>VLOOKUP(Tabulka5912152733394551576369[[#This Row],[Tým]],Tabulka3811142632384450566268[[Tým]:[Body]],6,FALSE)+Tabulka5912152733394551576369[[#This Row],[ ]]</f>
        <v>#N/A</v>
      </c>
      <c r="AK14" s="82" t="e">
        <f>VLOOKUP(Tabulka5912152733394551576369[[#This Row],[Tým]],Tabulka59121527333945515763[[Tým]:[Body]],2,FALSE)</f>
        <v>#N/A</v>
      </c>
      <c r="AL14" s="47" t="e">
        <f>Tabulka5912152733394551576369[[#This Row],[Umístění]]</f>
        <v>#N/A</v>
      </c>
      <c r="AM14" s="15"/>
      <c r="AP14" s="1"/>
    </row>
    <row r="15" spans="1:42" ht="24.95" customHeight="1" x14ac:dyDescent="0.4">
      <c r="B15" s="6"/>
      <c r="C15" s="1" t="str">
        <f>IF(Tabulka1710132531374349556167[[#This Row],[ ]]="","",IF(Tabulka1710132531374349556167[[#This Row],[ ]]="NEÚČAST","",IF(OR(Tabulka1710132531374349556167[Výsledný čas]="N",Tabulka1710132531374349556167[Výsledný čas]="D"),$L$4-$L$5,_xlfn.RANK.EQ(Tabulka1710132531374349556167[[#This Row],[ ]],Tabulka1710132531374349556167[[ ]],1))))</f>
        <v/>
      </c>
      <c r="D15" s="7"/>
      <c r="E15" s="8"/>
      <c r="F15" s="8"/>
      <c r="G15" s="9" t="str">
        <f>IF(OR(Tabulka1710132531374349556167[[#This Row],[LP]]="N",Tabulka1710132531374349556167[[#This Row],[PP]]="N"),"N",IF(OR(Tabulka1710132531374349556167[[#This Row],[LP]]="D",Tabulka1710132531374349556167[[#This Row],[PP]]="D"),"D",IF(OR(Tabulka1710132531374349556167[[#This Row],[LP]]="NEÚČAST",Tabulka1710132531374349556167[[#This Row],[PP]]="NEÚČAST"),"NEÚČAST",IF(OR(Tabulka1710132531374349556167[[#This Row],[LP]]="",Tabulka1710132531374349556167[[#This Row],[PP]]=""),"",MAX(Tabulka1710132531374349556167[[#This Row],[LP]:[PP]])))))</f>
        <v/>
      </c>
      <c r="H15" s="1">
        <f>COUNTIF(Tabulka1710132531374349556167[[#This Row],[Tým]],"*")</f>
        <v>0</v>
      </c>
      <c r="I15" s="1">
        <f>COUNTIF(Tabulka1710132531374349556167[[#This Row],[Výsledný čas]],"NEÚČAST")</f>
        <v>0</v>
      </c>
      <c r="J15" s="1" t="str">
        <f>IF(Tabulka1710132531374349556167[[#This Row],[Výsledný čas]]="N",998,IF(Tabulka1710132531374349556167[[#This Row],[Výsledný čas]]="D",998,IF(Tabulka1710132531374349556167[[#This Row],[Výsledný čas]]="","",Tabulka1710132531374349556167[[#This Row],[Výsledný čas]])))</f>
        <v/>
      </c>
      <c r="N15" s="68"/>
      <c r="P15" s="7"/>
      <c r="Q15" s="8"/>
      <c r="R15" s="8"/>
      <c r="Z15" s="31" t="e">
        <f>IF(OR(Tabulka3811142632384450566268[Výsledný čas]="N",Tabulka3811142632384450566268[Výsledný čas]="D",Tabulka3811142632384450566268[Výsledný čas]="NEÚČAST"),Uvod!$E$4,_xlfn.RANK.EQ(Tabulka3811142632384450566268[[#This Row],[ ]],Tabulka3811142632384450566268[[ ]],1))</f>
        <v>#N/A</v>
      </c>
      <c r="AA15" s="51" t="s">
        <v>16</v>
      </c>
      <c r="AB15" s="44" t="e">
        <f>VLOOKUP(Tabulka3811142632384450566268[[#This Row],[Tým]],Tabulka1710132531374349556167[[Tým]:[ ]],2,FALSE)</f>
        <v>#N/A</v>
      </c>
      <c r="AC15" s="44" t="e">
        <f>VLOOKUP(Tabulka3811142632384450566268[[#This Row],[Tým]],Tabulka1710132531374349556167[[Tým]:[ ]],3,FALSE)</f>
        <v>#N/A</v>
      </c>
      <c r="AD15" s="25" t="e">
        <f>VLOOKUP(Tabulka3811142632384450566268[[#This Row],[Tým]],Tabulka1710132531374349556167[[Tým]:[ ]],4,FALSE)</f>
        <v>#N/A</v>
      </c>
      <c r="AE15" s="25" t="e">
        <f>VLOOKUP(Tabulka3811142632384450566268[[#This Row],[Tým]],Tabulka1710132531374349556167[[Tým]:[ ]],5,FALSE)</f>
        <v>#N/A</v>
      </c>
      <c r="AF15" s="29" t="e">
        <f>IF(Tabulka3811142632384450566268[[#This Row],[Výsledný čas]]="N",5,IF(Tabulka3811142632384450566268[[#This Row],[Výsledný čas]]="D",0,IF(Tabulka3811142632384450566268[[#This Row],[Výsledný čas]]="NEÚČAST",0,Tabulka4[[#Totals],[Týmy muži]]+6-Tabulka3811142632384450566268[[#This Row],[Umístění]])))</f>
        <v>#N/A</v>
      </c>
      <c r="AH15" s="31" t="e">
        <f>_xlfn.RANK.EQ(Tabulka5912152733394551576369[[#This Row],[Body]],Tabulka5912152733394551576369[Body],0)</f>
        <v>#N/A</v>
      </c>
      <c r="AI15" s="51" t="s">
        <v>16</v>
      </c>
      <c r="AJ15" s="29" t="e">
        <f>VLOOKUP(Tabulka5912152733394551576369[[#This Row],[Tým]],Tabulka3811142632384450566268[[Tým]:[Body]],6,FALSE)+Tabulka5912152733394551576369[[#This Row],[ ]]</f>
        <v>#N/A</v>
      </c>
      <c r="AK15" s="82" t="e">
        <f>VLOOKUP(Tabulka5912152733394551576369[[#This Row],[Tým]],Tabulka59121527333945515763[[Tým]:[Body]],2,FALSE)</f>
        <v>#N/A</v>
      </c>
      <c r="AL15" s="47" t="e">
        <f>Tabulka5912152733394551576369[[#This Row],[Umístění]]</f>
        <v>#N/A</v>
      </c>
      <c r="AM15" s="15"/>
      <c r="AP15" s="1"/>
    </row>
    <row r="16" spans="1:42" ht="24.95" customHeight="1" x14ac:dyDescent="0.4">
      <c r="B16" s="11"/>
      <c r="C16" s="1" t="str">
        <f>IF(Tabulka1710132531374349556167[[#This Row],[ ]]="","",IF(Tabulka1710132531374349556167[[#This Row],[ ]]="NEÚČAST","",IF(OR(Tabulka1710132531374349556167[Výsledný čas]="N",Tabulka1710132531374349556167[Výsledný čas]="D"),$L$4-$L$5,_xlfn.RANK.EQ(Tabulka1710132531374349556167[[#This Row],[ ]],Tabulka1710132531374349556167[[ ]],1))))</f>
        <v/>
      </c>
      <c r="D16" s="7"/>
      <c r="E16" s="8"/>
      <c r="F16" s="8"/>
      <c r="G16" s="9" t="str">
        <f>IF(OR(Tabulka1710132531374349556167[[#This Row],[LP]]="N",Tabulka1710132531374349556167[[#This Row],[PP]]="N"),"N",IF(OR(Tabulka1710132531374349556167[[#This Row],[LP]]="D",Tabulka1710132531374349556167[[#This Row],[PP]]="D"),"D",IF(OR(Tabulka1710132531374349556167[[#This Row],[LP]]="NEÚČAST",Tabulka1710132531374349556167[[#This Row],[PP]]="NEÚČAST"),"NEÚČAST",IF(OR(Tabulka1710132531374349556167[[#This Row],[LP]]="",Tabulka1710132531374349556167[[#This Row],[PP]]=""),"",MAX(Tabulka1710132531374349556167[[#This Row],[LP]:[PP]])))))</f>
        <v/>
      </c>
      <c r="H16" s="1">
        <f>COUNTIF(Tabulka1710132531374349556167[[#This Row],[Tým]],"*")</f>
        <v>0</v>
      </c>
      <c r="I16" s="1">
        <f>COUNTIF(Tabulka1710132531374349556167[[#This Row],[Výsledný čas]],"NEÚČAST")</f>
        <v>0</v>
      </c>
      <c r="J16" s="1" t="str">
        <f>IF(Tabulka1710132531374349556167[[#This Row],[Výsledný čas]]="N",998,IF(Tabulka1710132531374349556167[[#This Row],[Výsledný čas]]="D",998,IF(Tabulka1710132531374349556167[[#This Row],[Výsledný čas]]="","",Tabulka1710132531374349556167[[#This Row],[Výsledný čas]])))</f>
        <v/>
      </c>
      <c r="N16" s="70"/>
      <c r="P16" s="7"/>
      <c r="Q16" s="8"/>
      <c r="R16" s="8"/>
      <c r="Z16" s="31" t="e">
        <f>IF(OR(Tabulka3811142632384450566268[Výsledný čas]="N",Tabulka3811142632384450566268[Výsledný čas]="D",Tabulka3811142632384450566268[Výsledný čas]="NEÚČAST"),Uvod!$E$4,_xlfn.RANK.EQ(Tabulka3811142632384450566268[[#This Row],[ ]],Tabulka3811142632384450566268[[ ]],1))</f>
        <v>#N/A</v>
      </c>
      <c r="AA16" s="51" t="s">
        <v>32</v>
      </c>
      <c r="AB16" s="44" t="e">
        <f>VLOOKUP(Tabulka3811142632384450566268[[#This Row],[Tým]],Tabulka1710132531374349556167[[Tým]:[ ]],2,FALSE)</f>
        <v>#N/A</v>
      </c>
      <c r="AC16" s="44" t="e">
        <f>VLOOKUP(Tabulka3811142632384450566268[[#This Row],[Tým]],Tabulka1710132531374349556167[[Tým]:[ ]],3,FALSE)</f>
        <v>#N/A</v>
      </c>
      <c r="AD16" s="25" t="e">
        <f>VLOOKUP(Tabulka3811142632384450566268[[#This Row],[Tým]],Tabulka1710132531374349556167[[Tým]:[ ]],4,FALSE)</f>
        <v>#N/A</v>
      </c>
      <c r="AE16" s="25" t="e">
        <f>VLOOKUP(Tabulka3811142632384450566268[[#This Row],[Tým]],Tabulka1710132531374349556167[[Tým]:[ ]],5,FALSE)</f>
        <v>#N/A</v>
      </c>
      <c r="AF16" s="29" t="e">
        <f>IF(Tabulka3811142632384450566268[[#This Row],[Výsledný čas]]="N",5,IF(Tabulka3811142632384450566268[[#This Row],[Výsledný čas]]="D",0,IF(Tabulka3811142632384450566268[[#This Row],[Výsledný čas]]="NEÚČAST",0,Tabulka4[[#Totals],[Týmy muži]]+6-Tabulka3811142632384450566268[[#This Row],[Umístění]])))</f>
        <v>#N/A</v>
      </c>
      <c r="AH16" s="31" t="e">
        <f>_xlfn.RANK.EQ(Tabulka5912152733394551576369[[#This Row],[Body]],Tabulka5912152733394551576369[Body],0)</f>
        <v>#N/A</v>
      </c>
      <c r="AI16" s="51" t="s">
        <v>32</v>
      </c>
      <c r="AJ16" s="29" t="e">
        <f>VLOOKUP(Tabulka5912152733394551576369[[#This Row],[Tým]],Tabulka3811142632384450566268[[Tým]:[Body]],6,FALSE)+Tabulka5912152733394551576369[[#This Row],[ ]]</f>
        <v>#N/A</v>
      </c>
      <c r="AK16" s="82" t="e">
        <f>VLOOKUP(Tabulka5912152733394551576369[[#This Row],[Tým]],Tabulka59121527333945515763[[Tým]:[Body]],2,FALSE)</f>
        <v>#N/A</v>
      </c>
      <c r="AL16" s="47" t="e">
        <f>Tabulka5912152733394551576369[[#This Row],[Umístění]]</f>
        <v>#N/A</v>
      </c>
      <c r="AM16" s="15"/>
      <c r="AP16" s="1"/>
    </row>
    <row r="17" spans="2:42" ht="24.95" customHeight="1" x14ac:dyDescent="0.4">
      <c r="B17" s="6"/>
      <c r="C17" s="1" t="str">
        <f>IF(Tabulka1710132531374349556167[[#This Row],[ ]]="","",IF(Tabulka1710132531374349556167[[#This Row],[ ]]="NEÚČAST","",IF(OR(Tabulka1710132531374349556167[Výsledný čas]="N",Tabulka1710132531374349556167[Výsledný čas]="D"),$L$4-$L$5,_xlfn.RANK.EQ(Tabulka1710132531374349556167[[#This Row],[ ]],Tabulka1710132531374349556167[[ ]],1))))</f>
        <v/>
      </c>
      <c r="D17" s="12"/>
      <c r="E17" s="8"/>
      <c r="F17" s="8"/>
      <c r="G17" s="9" t="str">
        <f>IF(OR(Tabulka1710132531374349556167[[#This Row],[LP]]="N",Tabulka1710132531374349556167[[#This Row],[PP]]="N"),"N",IF(OR(Tabulka1710132531374349556167[[#This Row],[LP]]="D",Tabulka1710132531374349556167[[#This Row],[PP]]="D"),"D",IF(OR(Tabulka1710132531374349556167[[#This Row],[LP]]="NEÚČAST",Tabulka1710132531374349556167[[#This Row],[PP]]="NEÚČAST"),"NEÚČAST",IF(OR(Tabulka1710132531374349556167[[#This Row],[LP]]="",Tabulka1710132531374349556167[[#This Row],[PP]]=""),"",MAX(Tabulka1710132531374349556167[[#This Row],[LP]:[PP]])))))</f>
        <v/>
      </c>
      <c r="H17" s="1">
        <f>COUNTIF(Tabulka1710132531374349556167[[#This Row],[Tým]],"*")</f>
        <v>0</v>
      </c>
      <c r="I17" s="1">
        <f>COUNTIF(Tabulka1710132531374349556167[[#This Row],[Výsledný čas]],"NEÚČAST")</f>
        <v>0</v>
      </c>
      <c r="J17" s="1" t="str">
        <f>IF(Tabulka1710132531374349556167[[#This Row],[Výsledný čas]]="N",998,IF(Tabulka1710132531374349556167[[#This Row],[Výsledný čas]]="D",998,IF(Tabulka1710132531374349556167[[#This Row],[Výsledný čas]]="","",Tabulka1710132531374349556167[[#This Row],[Výsledný čas]])))</f>
        <v/>
      </c>
      <c r="P17" s="7"/>
      <c r="Q17" s="8"/>
      <c r="R17" s="8"/>
      <c r="Z17" s="31" t="e">
        <f>IF(OR(Tabulka3811142632384450566268[Výsledný čas]="N",Tabulka3811142632384450566268[Výsledný čas]="D",Tabulka3811142632384450566268[Výsledný čas]="NEÚČAST"),Uvod!$E$4,_xlfn.RANK.EQ(Tabulka3811142632384450566268[[#This Row],[ ]],Tabulka3811142632384450566268[[ ]],1))</f>
        <v>#N/A</v>
      </c>
      <c r="AA17" s="51" t="s">
        <v>25</v>
      </c>
      <c r="AB17" s="44" t="e">
        <f>VLOOKUP(Tabulka3811142632384450566268[[#This Row],[Tým]],Tabulka1710132531374349556167[[Tým]:[ ]],2,FALSE)</f>
        <v>#N/A</v>
      </c>
      <c r="AC17" s="44" t="e">
        <f>VLOOKUP(Tabulka3811142632384450566268[[#This Row],[Tým]],Tabulka1710132531374349556167[[Tým]:[ ]],3,FALSE)</f>
        <v>#N/A</v>
      </c>
      <c r="AD17" s="25" t="e">
        <f>VLOOKUP(Tabulka3811142632384450566268[[#This Row],[Tým]],Tabulka1710132531374349556167[[Tým]:[ ]],4,FALSE)</f>
        <v>#N/A</v>
      </c>
      <c r="AE17" s="25" t="e">
        <f>VLOOKUP(Tabulka3811142632384450566268[[#This Row],[Tým]],Tabulka1710132531374349556167[[Tým]:[ ]],5,FALSE)</f>
        <v>#N/A</v>
      </c>
      <c r="AF17" s="29" t="e">
        <f>IF(Tabulka3811142632384450566268[[#This Row],[Výsledný čas]]="N",5,IF(Tabulka3811142632384450566268[[#This Row],[Výsledný čas]]="D",0,IF(Tabulka3811142632384450566268[[#This Row],[Výsledný čas]]="NEÚČAST",0,Tabulka4[[#Totals],[Týmy muži]]+6-Tabulka3811142632384450566268[[#This Row],[Umístění]])))</f>
        <v>#N/A</v>
      </c>
      <c r="AH17" s="31" t="e">
        <f>_xlfn.RANK.EQ(Tabulka5912152733394551576369[[#This Row],[Body]],Tabulka5912152733394551576369[Body],0)</f>
        <v>#N/A</v>
      </c>
      <c r="AI17" s="51" t="s">
        <v>25</v>
      </c>
      <c r="AJ17" s="29" t="e">
        <f>VLOOKUP(Tabulka5912152733394551576369[[#This Row],[Tým]],Tabulka3811142632384450566268[[Tým]:[Body]],6,FALSE)+Tabulka5912152733394551576369[[#This Row],[ ]]</f>
        <v>#N/A</v>
      </c>
      <c r="AK17" s="82" t="e">
        <f>VLOOKUP(Tabulka5912152733394551576369[[#This Row],[Tým]],Tabulka59121527333945515763[[Tým]:[Body]],2,FALSE)</f>
        <v>#N/A</v>
      </c>
      <c r="AL17" s="47" t="e">
        <f>Tabulka5912152733394551576369[[#This Row],[Umístění]]</f>
        <v>#N/A</v>
      </c>
      <c r="AM17" s="15"/>
      <c r="AP17" s="1"/>
    </row>
    <row r="18" spans="2:42" ht="24.95" customHeight="1" x14ac:dyDescent="0.4">
      <c r="B18" s="11"/>
      <c r="C18" s="1" t="str">
        <f>IF(Tabulka1710132531374349556167[[#This Row],[ ]]="","",IF(Tabulka1710132531374349556167[[#This Row],[ ]]="NEÚČAST","",IF(OR(Tabulka1710132531374349556167[Výsledný čas]="N",Tabulka1710132531374349556167[Výsledný čas]="D"),$L$4-$L$5,_xlfn.RANK.EQ(Tabulka1710132531374349556167[[#This Row],[ ]],Tabulka1710132531374349556167[[ ]],1))))</f>
        <v/>
      </c>
      <c r="D18" s="12"/>
      <c r="E18" s="8"/>
      <c r="F18" s="8"/>
      <c r="G18" s="9" t="str">
        <f>IF(OR(Tabulka1710132531374349556167[[#This Row],[LP]]="N",Tabulka1710132531374349556167[[#This Row],[PP]]="N"),"N",IF(OR(Tabulka1710132531374349556167[[#This Row],[LP]]="D",Tabulka1710132531374349556167[[#This Row],[PP]]="D"),"D",IF(OR(Tabulka1710132531374349556167[[#This Row],[LP]]="NEÚČAST",Tabulka1710132531374349556167[[#This Row],[PP]]="NEÚČAST"),"NEÚČAST",IF(OR(Tabulka1710132531374349556167[[#This Row],[LP]]="",Tabulka1710132531374349556167[[#This Row],[PP]]=""),"",MAX(Tabulka1710132531374349556167[[#This Row],[LP]:[PP]])))))</f>
        <v/>
      </c>
      <c r="H18" s="1">
        <f>COUNTIF(Tabulka1710132531374349556167[[#This Row],[Tým]],"*")</f>
        <v>0</v>
      </c>
      <c r="I18" s="1">
        <f>COUNTIF(Tabulka1710132531374349556167[[#This Row],[Výsledný čas]],"NEÚČAST")</f>
        <v>0</v>
      </c>
      <c r="J18" s="1" t="str">
        <f>IF(Tabulka1710132531374349556167[[#This Row],[Výsledný čas]]="N",998,IF(Tabulka1710132531374349556167[[#This Row],[Výsledný čas]]="D",998,IF(Tabulka1710132531374349556167[[#This Row],[Výsledný čas]]="","",Tabulka1710132531374349556167[[#This Row],[Výsledný čas]])))</f>
        <v/>
      </c>
      <c r="P18" s="7"/>
      <c r="Q18" s="8"/>
      <c r="R18" s="8"/>
      <c r="Z18" s="31" t="e">
        <f>IF(OR(Tabulka3811142632384450566268[Výsledný čas]="N",Tabulka3811142632384450566268[Výsledný čas]="D",Tabulka3811142632384450566268[Výsledný čas]="NEÚČAST"),Uvod!$E$4,_xlfn.RANK.EQ(Tabulka3811142632384450566268[[#This Row],[ ]],Tabulka3811142632384450566268[[ ]],1))</f>
        <v>#N/A</v>
      </c>
      <c r="AA18" s="51" t="s">
        <v>14</v>
      </c>
      <c r="AB18" s="44" t="e">
        <f>VLOOKUP(Tabulka3811142632384450566268[[#This Row],[Tým]],Tabulka1710132531374349556167[[Tým]:[ ]],2,FALSE)</f>
        <v>#N/A</v>
      </c>
      <c r="AC18" s="44" t="e">
        <f>VLOOKUP(Tabulka3811142632384450566268[[#This Row],[Tým]],Tabulka1710132531374349556167[[Tým]:[ ]],3,FALSE)</f>
        <v>#N/A</v>
      </c>
      <c r="AD18" s="25" t="e">
        <f>VLOOKUP(Tabulka3811142632384450566268[[#This Row],[Tým]],Tabulka1710132531374349556167[[Tým]:[ ]],4,FALSE)</f>
        <v>#N/A</v>
      </c>
      <c r="AE18" s="25" t="e">
        <f>VLOOKUP(Tabulka3811142632384450566268[[#This Row],[Tým]],Tabulka1710132531374349556167[[Tým]:[ ]],5,FALSE)</f>
        <v>#N/A</v>
      </c>
      <c r="AF18" s="29" t="e">
        <f>IF(Tabulka3811142632384450566268[[#This Row],[Výsledný čas]]="N",5,IF(Tabulka3811142632384450566268[[#This Row],[Výsledný čas]]="D",0,IF(Tabulka3811142632384450566268[[#This Row],[Výsledný čas]]="NEÚČAST",0,Tabulka4[[#Totals],[Týmy muži]]+6-Tabulka3811142632384450566268[[#This Row],[Umístění]])))</f>
        <v>#N/A</v>
      </c>
      <c r="AH18" s="31" t="e">
        <f>_xlfn.RANK.EQ(Tabulka5912152733394551576369[[#This Row],[Body]],Tabulka5912152733394551576369[Body],0)</f>
        <v>#N/A</v>
      </c>
      <c r="AI18" s="51" t="s">
        <v>14</v>
      </c>
      <c r="AJ18" s="29" t="e">
        <f>VLOOKUP(Tabulka5912152733394551576369[[#This Row],[Tým]],Tabulka3811142632384450566268[[Tým]:[Body]],6,FALSE)+Tabulka5912152733394551576369[[#This Row],[ ]]</f>
        <v>#N/A</v>
      </c>
      <c r="AK18" s="82" t="e">
        <f>VLOOKUP(Tabulka5912152733394551576369[[#This Row],[Tým]],Tabulka59121527333945515763[[Tým]:[Body]],2,FALSE)</f>
        <v>#N/A</v>
      </c>
      <c r="AL18" s="47" t="e">
        <f>Tabulka5912152733394551576369[[#This Row],[Umístění]]</f>
        <v>#N/A</v>
      </c>
      <c r="AM18" s="15"/>
      <c r="AP18" s="1"/>
    </row>
    <row r="19" spans="2:42" ht="24.95" customHeight="1" x14ac:dyDescent="0.4">
      <c r="B19" s="6"/>
      <c r="C19" s="1" t="str">
        <f>IF(Tabulka1710132531374349556167[[#This Row],[ ]]="","",IF(Tabulka1710132531374349556167[[#This Row],[ ]]="NEÚČAST","",IF(OR(Tabulka1710132531374349556167[Výsledný čas]="N",Tabulka1710132531374349556167[Výsledný čas]="D"),$L$4-$L$5,_xlfn.RANK.EQ(Tabulka1710132531374349556167[[#This Row],[ ]],Tabulka1710132531374349556167[[ ]],1))))</f>
        <v/>
      </c>
      <c r="D19" s="7"/>
      <c r="E19" s="8"/>
      <c r="F19" s="8"/>
      <c r="G19" s="9" t="str">
        <f>IF(OR(Tabulka1710132531374349556167[[#This Row],[LP]]="N",Tabulka1710132531374349556167[[#This Row],[PP]]="N"),"N",IF(OR(Tabulka1710132531374349556167[[#This Row],[LP]]="D",Tabulka1710132531374349556167[[#This Row],[PP]]="D"),"D",IF(OR(Tabulka1710132531374349556167[[#This Row],[LP]]="NEÚČAST",Tabulka1710132531374349556167[[#This Row],[PP]]="NEÚČAST"),"NEÚČAST",IF(OR(Tabulka1710132531374349556167[[#This Row],[LP]]="",Tabulka1710132531374349556167[[#This Row],[PP]]=""),"",MAX(Tabulka1710132531374349556167[[#This Row],[LP]:[PP]])))))</f>
        <v/>
      </c>
      <c r="H19" s="1">
        <f>COUNTIF(Tabulka1710132531374349556167[[#This Row],[Tým]],"*")</f>
        <v>0</v>
      </c>
      <c r="I19" s="1">
        <f>COUNTIF(Tabulka1710132531374349556167[[#This Row],[Výsledný čas]],"NEÚČAST")</f>
        <v>0</v>
      </c>
      <c r="J19" s="1" t="str">
        <f>IF(Tabulka1710132531374349556167[[#This Row],[Výsledný čas]]="N",998,IF(Tabulka1710132531374349556167[[#This Row],[Výsledný čas]]="D",998,IF(Tabulka1710132531374349556167[[#This Row],[Výsledný čas]]="","",Tabulka1710132531374349556167[[#This Row],[Výsledný čas]])))</f>
        <v/>
      </c>
      <c r="N19" s="68"/>
      <c r="P19" s="10"/>
      <c r="Q19" s="8"/>
      <c r="R19" s="8"/>
      <c r="Z19" s="31" t="e">
        <f>IF(OR(Tabulka3811142632384450566268[Výsledný čas]="N",Tabulka3811142632384450566268[Výsledný čas]="D",Tabulka3811142632384450566268[Výsledný čas]="NEÚČAST"),Uvod!$E$4,_xlfn.RANK.EQ(Tabulka3811142632384450566268[[#This Row],[ ]],Tabulka3811142632384450566268[[ ]],1))</f>
        <v>#N/A</v>
      </c>
      <c r="AA19" s="97" t="s">
        <v>33</v>
      </c>
      <c r="AB19" s="44" t="e">
        <f>VLOOKUP(Tabulka3811142632384450566268[[#This Row],[Tým]],Tabulka1710132531374349556167[[Tým]:[ ]],2,FALSE)</f>
        <v>#N/A</v>
      </c>
      <c r="AC19" s="44" t="e">
        <f>VLOOKUP(Tabulka3811142632384450566268[[#This Row],[Tým]],Tabulka1710132531374349556167[[Tým]:[ ]],3,FALSE)</f>
        <v>#N/A</v>
      </c>
      <c r="AD19" s="25" t="e">
        <f>VLOOKUP(Tabulka3811142632384450566268[[#This Row],[Tým]],Tabulka1710132531374349556167[[Tým]:[ ]],4,FALSE)</f>
        <v>#N/A</v>
      </c>
      <c r="AE19" s="25" t="e">
        <f>VLOOKUP(Tabulka3811142632384450566268[[#This Row],[Tým]],Tabulka1710132531374349556167[[Tým]:[ ]],5,FALSE)</f>
        <v>#N/A</v>
      </c>
      <c r="AF19" s="29" t="e">
        <f>IF(Tabulka3811142632384450566268[[#This Row],[Výsledný čas]]="N",5,IF(Tabulka3811142632384450566268[[#This Row],[Výsledný čas]]="D",0,IF(Tabulka3811142632384450566268[[#This Row],[Výsledný čas]]="NEÚČAST",0,Tabulka4[[#Totals],[Týmy muži]]+6-Tabulka3811142632384450566268[[#This Row],[Umístění]])))</f>
        <v>#N/A</v>
      </c>
      <c r="AH19" s="31" t="e">
        <f>_xlfn.RANK.EQ(Tabulka5912152733394551576369[[#This Row],[Body]],Tabulka5912152733394551576369[Body],0)</f>
        <v>#N/A</v>
      </c>
      <c r="AI19" s="97" t="s">
        <v>33</v>
      </c>
      <c r="AJ19" s="29" t="e">
        <f>VLOOKUP(Tabulka5912152733394551576369[[#This Row],[Tým]],Tabulka3811142632384450566268[[Tým]:[Body]],6,FALSE)+Tabulka5912152733394551576369[[#This Row],[ ]]</f>
        <v>#N/A</v>
      </c>
      <c r="AK19" s="82" t="e">
        <f>VLOOKUP(Tabulka5912152733394551576369[[#This Row],[Tým]],Tabulka59121527333945515763[[Tým]:[Body]],2,FALSE)</f>
        <v>#N/A</v>
      </c>
      <c r="AL19" s="47" t="e">
        <f>Tabulka5912152733394551576369[[#This Row],[Umístění]]</f>
        <v>#N/A</v>
      </c>
      <c r="AM19" s="15"/>
      <c r="AP19" s="1"/>
    </row>
    <row r="20" spans="2:42" ht="24.95" customHeight="1" thickBot="1" x14ac:dyDescent="0.45">
      <c r="B20" s="11"/>
      <c r="C20" s="1" t="str">
        <f>IF(Tabulka1710132531374349556167[[#This Row],[ ]]="","",IF(Tabulka1710132531374349556167[[#This Row],[ ]]="NEÚČAST","",IF(OR(Tabulka1710132531374349556167[Výsledný čas]="N",Tabulka1710132531374349556167[Výsledný čas]="D"),$L$4-$L$5,_xlfn.RANK.EQ(Tabulka1710132531374349556167[[#This Row],[ ]],Tabulka1710132531374349556167[[ ]],1))))</f>
        <v/>
      </c>
      <c r="D20" s="7"/>
      <c r="E20" s="8"/>
      <c r="F20" s="8"/>
      <c r="G20" s="9" t="str">
        <f>IF(OR(Tabulka1710132531374349556167[[#This Row],[LP]]="N",Tabulka1710132531374349556167[[#This Row],[PP]]="N"),"N",IF(OR(Tabulka1710132531374349556167[[#This Row],[LP]]="D",Tabulka1710132531374349556167[[#This Row],[PP]]="D"),"D",IF(OR(Tabulka1710132531374349556167[[#This Row],[LP]]="NEÚČAST",Tabulka1710132531374349556167[[#This Row],[PP]]="NEÚČAST"),"NEÚČAST",IF(OR(Tabulka1710132531374349556167[[#This Row],[LP]]="",Tabulka1710132531374349556167[[#This Row],[PP]]=""),"",MAX(Tabulka1710132531374349556167[[#This Row],[LP]:[PP]])))))</f>
        <v/>
      </c>
      <c r="H20" s="1">
        <f>COUNTIF(Tabulka1710132531374349556167[[#This Row],[Tým]],"*")</f>
        <v>0</v>
      </c>
      <c r="I20" s="1">
        <f>COUNTIF(Tabulka1710132531374349556167[[#This Row],[Výsledný čas]],"NEÚČAST")</f>
        <v>0</v>
      </c>
      <c r="J20" s="1" t="str">
        <f>IF(Tabulka1710132531374349556167[[#This Row],[Výsledný čas]]="N",998,IF(Tabulka1710132531374349556167[[#This Row],[Výsledný čas]]="D",998,IF(Tabulka1710132531374349556167[[#This Row],[Výsledný čas]]="","",Tabulka1710132531374349556167[[#This Row],[Výsledný čas]])))</f>
        <v/>
      </c>
      <c r="N20" s="70"/>
      <c r="P20" s="10"/>
      <c r="Q20" s="8"/>
      <c r="R20" s="8"/>
      <c r="Z20" s="31" t="e">
        <f>IF(OR(Tabulka3811142632384450566268[Výsledný čas]="N",Tabulka3811142632384450566268[Výsledný čas]="D",Tabulka3811142632384450566268[Výsledný čas]="NEÚČAST"),Uvod!$E$4,_xlfn.RANK.EQ(Tabulka3811142632384450566268[[#This Row],[ ]],Tabulka3811142632384450566268[[ ]],1))</f>
        <v>#N/A</v>
      </c>
      <c r="AA20" s="97" t="s">
        <v>17</v>
      </c>
      <c r="AB20" s="44" t="e">
        <f>VLOOKUP(Tabulka3811142632384450566268[[#This Row],[Tým]],Tabulka1710132531374349556167[[Tým]:[ ]],2,FALSE)</f>
        <v>#N/A</v>
      </c>
      <c r="AC20" s="44" t="e">
        <f>VLOOKUP(Tabulka3811142632384450566268[[#This Row],[Tým]],Tabulka1710132531374349556167[[Tým]:[ ]],3,FALSE)</f>
        <v>#N/A</v>
      </c>
      <c r="AD20" s="25" t="e">
        <f>VLOOKUP(Tabulka3811142632384450566268[[#This Row],[Tým]],Tabulka1710132531374349556167[[Tým]:[ ]],4,FALSE)</f>
        <v>#N/A</v>
      </c>
      <c r="AE20" s="25" t="e">
        <f>VLOOKUP(Tabulka3811142632384450566268[[#This Row],[Tým]],Tabulka1710132531374349556167[[Tým]:[ ]],5,FALSE)</f>
        <v>#N/A</v>
      </c>
      <c r="AF20" s="29" t="e">
        <f>IF(Tabulka3811142632384450566268[[#This Row],[Výsledný čas]]="N",5,IF(Tabulka3811142632384450566268[[#This Row],[Výsledný čas]]="D",0,IF(Tabulka3811142632384450566268[[#This Row],[Výsledný čas]]="NEÚČAST",0,Tabulka4[[#Totals],[Týmy muži]]+6-Tabulka3811142632384450566268[[#This Row],[Umístění]])))</f>
        <v>#N/A</v>
      </c>
      <c r="AH20" s="31" t="e">
        <f>_xlfn.RANK.EQ(Tabulka5912152733394551576369[[#This Row],[Body]],Tabulka5912152733394551576369[Body],0)</f>
        <v>#N/A</v>
      </c>
      <c r="AI20" s="97" t="s">
        <v>17</v>
      </c>
      <c r="AJ20" s="29" t="e">
        <f>VLOOKUP(Tabulka5912152733394551576369[[#This Row],[Tým]],Tabulka3811142632384450566268[[Tým]:[Body]],6,FALSE)+Tabulka5912152733394551576369[[#This Row],[ ]]</f>
        <v>#N/A</v>
      </c>
      <c r="AK20" s="83" t="e">
        <f>VLOOKUP(Tabulka5912152733394551576369[[#This Row],[Tým]],Tabulka59121527333945515763[[Tým]:[Body]],2,FALSE)</f>
        <v>#N/A</v>
      </c>
      <c r="AL20" s="93" t="e">
        <f>Tabulka5912152733394551576369[[#This Row],[Umístění]]</f>
        <v>#N/A</v>
      </c>
      <c r="AM20" s="15"/>
      <c r="AP20" s="1"/>
    </row>
    <row r="21" spans="2:42" ht="24.95" customHeight="1" x14ac:dyDescent="0.4">
      <c r="B21" s="6"/>
      <c r="C21" s="1" t="str">
        <f>IF(Tabulka1710132531374349556167[[#This Row],[ ]]="","",IF(Tabulka1710132531374349556167[[#This Row],[ ]]="NEÚČAST","",IF(OR(Tabulka1710132531374349556167[Výsledný čas]="N",Tabulka1710132531374349556167[Výsledný čas]="D"),$L$4-$L$5,_xlfn.RANK.EQ(Tabulka1710132531374349556167[[#This Row],[ ]],Tabulka1710132531374349556167[[ ]],1))))</f>
        <v/>
      </c>
      <c r="D21" s="7"/>
      <c r="E21" s="13"/>
      <c r="F21" s="8"/>
      <c r="G21" s="9" t="str">
        <f>IF(OR(Tabulka1710132531374349556167[[#This Row],[LP]]="N",Tabulka1710132531374349556167[[#This Row],[PP]]="N"),"N",IF(OR(Tabulka1710132531374349556167[[#This Row],[LP]]="D",Tabulka1710132531374349556167[[#This Row],[PP]]="D"),"D",IF(OR(Tabulka1710132531374349556167[[#This Row],[LP]]="NEÚČAST",Tabulka1710132531374349556167[[#This Row],[PP]]="NEÚČAST"),"NEÚČAST",IF(OR(Tabulka1710132531374349556167[[#This Row],[LP]]="",Tabulka1710132531374349556167[[#This Row],[PP]]=""),"",MAX(Tabulka1710132531374349556167[[#This Row],[LP]:[PP]])))))</f>
        <v/>
      </c>
      <c r="H21" s="1">
        <f>COUNTIF(Tabulka1710132531374349556167[[#This Row],[Tým]],"*")</f>
        <v>0</v>
      </c>
      <c r="I21" s="1">
        <f>COUNTIF(Tabulka1710132531374349556167[[#This Row],[Výsledný čas]],"NEÚČAST")</f>
        <v>0</v>
      </c>
      <c r="J21" s="1" t="str">
        <f>IF(Tabulka1710132531374349556167[[#This Row],[Výsledný čas]]="N",998,IF(Tabulka1710132531374349556167[[#This Row],[Výsledný čas]]="D",998,IF(Tabulka1710132531374349556167[[#This Row],[Výsledný čas]]="","",Tabulka1710132531374349556167[[#This Row],[Výsledný čas]])))</f>
        <v/>
      </c>
      <c r="P21" s="10"/>
      <c r="Q21" s="8"/>
      <c r="R21" s="8"/>
      <c r="Z21" s="31" t="e">
        <f>IF(OR(Tabulka3811142632384450566268[Výsledný čas]="N",Tabulka3811142632384450566268[Výsledný čas]="D",Tabulka3811142632384450566268[Výsledný čas]="NEÚČAST"),Uvod!$E$4,_xlfn.RANK.EQ(Tabulka3811142632384450566268[[#This Row],[ ]],Tabulka3811142632384450566268[[ ]],1))</f>
        <v>#N/A</v>
      </c>
      <c r="AA21" s="51" t="s">
        <v>24</v>
      </c>
      <c r="AB21" s="44" t="e">
        <f>VLOOKUP(Tabulka3811142632384450566268[[#This Row],[Tým]],Tabulka1710132531374349556167[[Tým]:[ ]],2,FALSE)</f>
        <v>#N/A</v>
      </c>
      <c r="AC21" s="44" t="e">
        <f>VLOOKUP(Tabulka3811142632384450566268[[#This Row],[Tým]],Tabulka1710132531374349556167[[Tým]:[ ]],3,FALSE)</f>
        <v>#N/A</v>
      </c>
      <c r="AD21" s="25" t="e">
        <f>VLOOKUP(Tabulka3811142632384450566268[[#This Row],[Tým]],Tabulka1710132531374349556167[[Tým]:[ ]],4,FALSE)</f>
        <v>#N/A</v>
      </c>
      <c r="AE21" s="25" t="e">
        <f>VLOOKUP(Tabulka3811142632384450566268[[#This Row],[Tým]],Tabulka1710132531374349556167[[Tým]:[ ]],5,FALSE)</f>
        <v>#N/A</v>
      </c>
      <c r="AF21" s="29" t="e">
        <f>IF(Tabulka3811142632384450566268[[#This Row],[Výsledný čas]]="N",5,IF(Tabulka3811142632384450566268[[#This Row],[Výsledný čas]]="D",0,IF(Tabulka3811142632384450566268[[#This Row],[Výsledný čas]]="NEÚČAST",0,Tabulka4[[#Totals],[Týmy muži]]+6-Tabulka3811142632384450566268[[#This Row],[Umístění]])))</f>
        <v>#N/A</v>
      </c>
      <c r="AH21" s="31" t="e">
        <f>_xlfn.RANK.EQ(Tabulka5912152733394551576369[[#This Row],[Body]],Tabulka5912152733394551576369[Body],0)</f>
        <v>#N/A</v>
      </c>
      <c r="AI21" s="51" t="s">
        <v>24</v>
      </c>
      <c r="AJ21" s="29" t="e">
        <f>VLOOKUP(Tabulka5912152733394551576369[[#This Row],[Tým]],Tabulka3811142632384450566268[[Tým]:[Body]],6,FALSE)+Tabulka5912152733394551576369[[#This Row],[ ]]</f>
        <v>#N/A</v>
      </c>
      <c r="AK21" s="82" t="e">
        <f>VLOOKUP(Tabulka5912152733394551576369[[#This Row],[Tým]],Tabulka59121527333945515763[[Tým]:[Body]],2,FALSE)</f>
        <v>#N/A</v>
      </c>
      <c r="AL21" s="47" t="e">
        <f>Tabulka5912152733394551576369[[#This Row],[Umístění]]</f>
        <v>#N/A</v>
      </c>
    </row>
    <row r="22" spans="2:42" ht="24.95" customHeight="1" thickBot="1" x14ac:dyDescent="0.45">
      <c r="B22" s="6"/>
      <c r="C22" s="1" t="str">
        <f>IF(Tabulka1710132531374349556167[[#This Row],[ ]]="","",IF(Tabulka1710132531374349556167[[#This Row],[ ]]="NEÚČAST","",IF(OR(Tabulka1710132531374349556167[Výsledný čas]="N",Tabulka1710132531374349556167[Výsledný čas]="D"),$L$4-$L$5,_xlfn.RANK.EQ(Tabulka1710132531374349556167[[#This Row],[ ]],Tabulka1710132531374349556167[[ ]],1))))</f>
        <v/>
      </c>
      <c r="D22" s="7"/>
      <c r="E22" s="8"/>
      <c r="F22" s="8"/>
      <c r="G22" s="9" t="str">
        <f>IF(OR(Tabulka1710132531374349556167[[#This Row],[LP]]="N",Tabulka1710132531374349556167[[#This Row],[PP]]="N"),"N",IF(OR(Tabulka1710132531374349556167[[#This Row],[LP]]="D",Tabulka1710132531374349556167[[#This Row],[PP]]="D"),"D",IF(OR(Tabulka1710132531374349556167[[#This Row],[LP]]="NEÚČAST",Tabulka1710132531374349556167[[#This Row],[PP]]="NEÚČAST"),"NEÚČAST",IF(OR(Tabulka1710132531374349556167[[#This Row],[LP]]="",Tabulka1710132531374349556167[[#This Row],[PP]]=""),"",MAX(Tabulka1710132531374349556167[[#This Row],[LP]:[PP]])))))</f>
        <v/>
      </c>
      <c r="H22" s="1">
        <f>COUNTIF(Tabulka1710132531374349556167[[#This Row],[Tým]],"*")</f>
        <v>0</v>
      </c>
      <c r="I22" s="1">
        <f>COUNTIF(Tabulka1710132531374349556167[[#This Row],[Výsledný čas]],"NEÚČAST")</f>
        <v>0</v>
      </c>
      <c r="J22" s="1" t="str">
        <f>IF(Tabulka1710132531374349556167[[#This Row],[Výsledný čas]]="N",998,IF(Tabulka1710132531374349556167[[#This Row],[Výsledný čas]]="D",998,IF(Tabulka1710132531374349556167[[#This Row],[Výsledný čas]]="","",Tabulka1710132531374349556167[[#This Row],[Výsledný čas]])))</f>
        <v/>
      </c>
      <c r="P22" s="10"/>
      <c r="Q22" s="8"/>
      <c r="R22" s="8"/>
      <c r="Z22" s="33" t="e">
        <f>IF(OR(Tabulka3811142632384450566268[Výsledný čas]="N",Tabulka3811142632384450566268[Výsledný čas]="D",Tabulka3811142632384450566268[Výsledný čas]="NEÚČAST"),Uvod!$E$4,_xlfn.RANK.EQ(Tabulka3811142632384450566268[[#This Row],[ ]],Tabulka3811142632384450566268[[ ]],1))</f>
        <v>#N/A</v>
      </c>
      <c r="AA22" s="98" t="s">
        <v>13</v>
      </c>
      <c r="AB22" s="45" t="e">
        <f>VLOOKUP(Tabulka3811142632384450566268[[#This Row],[Tým]],Tabulka1710132531374349556167[[Tým]:[ ]],2,FALSE)</f>
        <v>#N/A</v>
      </c>
      <c r="AC22" s="45" t="e">
        <f>VLOOKUP(Tabulka3811142632384450566268[[#This Row],[Tým]],Tabulka1710132531374349556167[[Tým]:[ ]],3,FALSE)</f>
        <v>#N/A</v>
      </c>
      <c r="AD22" s="34" t="e">
        <f>VLOOKUP(Tabulka3811142632384450566268[[#This Row],[Tým]],Tabulka1710132531374349556167[[Tým]:[ ]],4,FALSE)</f>
        <v>#N/A</v>
      </c>
      <c r="AE22" s="34" t="e">
        <f>VLOOKUP(Tabulka3811142632384450566268[[#This Row],[Tým]],Tabulka1710132531374349556167[[Tým]:[ ]],5,FALSE)</f>
        <v>#N/A</v>
      </c>
      <c r="AF22" s="36" t="e">
        <f>IF(Tabulka3811142632384450566268[[#This Row],[Výsledný čas]]="N",5,IF(Tabulka3811142632384450566268[[#This Row],[Výsledný čas]]="D",0,IF(Tabulka3811142632384450566268[[#This Row],[Výsledný čas]]="NEÚČAST",0,Tabulka4[[#Totals],[Týmy muži]]+6-Tabulka3811142632384450566268[[#This Row],[Umístění]])))</f>
        <v>#N/A</v>
      </c>
      <c r="AH22" s="33" t="e">
        <f>_xlfn.RANK.EQ(Tabulka5912152733394551576369[[#This Row],[Body]],Tabulka5912152733394551576369[Body],0)</f>
        <v>#N/A</v>
      </c>
      <c r="AI22" s="98" t="s">
        <v>13</v>
      </c>
      <c r="AJ22" s="36" t="e">
        <f>VLOOKUP(Tabulka5912152733394551576369[[#This Row],[Tým]],Tabulka3811142632384450566268[[Tým]:[Body]],6,FALSE)+Tabulka5912152733394551576369[[#This Row],[ ]]</f>
        <v>#N/A</v>
      </c>
      <c r="AK22" s="82" t="e">
        <f>VLOOKUP(Tabulka5912152733394551576369[[#This Row],[Tým]],Tabulka59121527333945515763[[Tým]:[Body]],2,FALSE)</f>
        <v>#N/A</v>
      </c>
      <c r="AL22" s="47" t="e">
        <f>Tabulka5912152733394551576369[[#This Row],[Umístění]]</f>
        <v>#N/A</v>
      </c>
    </row>
    <row r="23" spans="2:42" ht="24.95" customHeight="1" x14ac:dyDescent="0.4">
      <c r="B23" s="68"/>
      <c r="D23" s="14"/>
      <c r="E23" s="8"/>
      <c r="F23" s="8"/>
      <c r="P23" s="10"/>
      <c r="Q23" s="8"/>
      <c r="R23" s="8"/>
      <c r="AB23" s="3"/>
      <c r="AC23" s="3"/>
      <c r="AL23" s="15"/>
    </row>
    <row r="24" spans="2:42" ht="24.95" customHeight="1" thickBot="1" x14ac:dyDescent="0.45">
      <c r="B24" s="70"/>
      <c r="D24" s="7"/>
      <c r="E24" s="8"/>
      <c r="F24" s="8"/>
      <c r="N24" s="68"/>
      <c r="P24" s="7"/>
      <c r="Q24" s="8"/>
      <c r="R24" s="8"/>
      <c r="AB24" s="3"/>
      <c r="AC24" s="3"/>
      <c r="AL24" s="15"/>
    </row>
    <row r="25" spans="2:42" ht="24.95" customHeight="1" x14ac:dyDescent="0.4">
      <c r="D25" s="16"/>
      <c r="N25" s="70"/>
      <c r="P25" s="7"/>
      <c r="Q25" s="8"/>
      <c r="R25" s="8"/>
      <c r="Z25" s="308" t="str">
        <f>N2</f>
        <v xml:space="preserve">Výsledky - Soutěže 10. kola NHHL 1.9. 2023 Strahovice - ŽENY </v>
      </c>
      <c r="AA25" s="309"/>
      <c r="AB25" s="309"/>
      <c r="AC25" s="309"/>
      <c r="AD25" s="309"/>
      <c r="AE25" s="309"/>
      <c r="AF25" s="310"/>
      <c r="AH25" s="308" t="s">
        <v>138</v>
      </c>
      <c r="AI25" s="309"/>
      <c r="AJ25" s="309"/>
      <c r="AK25" s="310"/>
      <c r="AL25" s="15"/>
    </row>
    <row r="26" spans="2:42" ht="24.95" customHeight="1" thickBot="1" x14ac:dyDescent="0.45">
      <c r="D26" s="16"/>
      <c r="P26" s="7"/>
      <c r="Q26" s="8"/>
      <c r="R26" s="8"/>
      <c r="Z26" s="58" t="s">
        <v>1</v>
      </c>
      <c r="AA26" s="59" t="s">
        <v>2</v>
      </c>
      <c r="AB26" s="59" t="s">
        <v>3</v>
      </c>
      <c r="AC26" s="59" t="s">
        <v>4</v>
      </c>
      <c r="AD26" s="59" t="s">
        <v>5</v>
      </c>
      <c r="AE26" s="59" t="s">
        <v>27</v>
      </c>
      <c r="AF26" s="60" t="s">
        <v>7</v>
      </c>
      <c r="AH26" s="58" t="s">
        <v>1</v>
      </c>
      <c r="AI26" s="59" t="s">
        <v>2</v>
      </c>
      <c r="AJ26" s="59" t="s">
        <v>7</v>
      </c>
      <c r="AK26" s="29" t="s">
        <v>27</v>
      </c>
      <c r="AL26" s="94" t="s">
        <v>73</v>
      </c>
      <c r="AM26" s="15"/>
      <c r="AP26" s="1"/>
    </row>
    <row r="27" spans="2:42" ht="24.95" customHeight="1" x14ac:dyDescent="0.4">
      <c r="D27" s="16"/>
      <c r="P27" s="7"/>
      <c r="Q27" s="8"/>
      <c r="R27" s="8"/>
      <c r="Z27" s="77" t="e">
        <f>IF(OR(Tabulka38111422834404652586470[Výsledný čas]="N",Tabulka38111422834404652586470[Výsledný čas]="D",Tabulka38111422834404652586470[Výsledný čas]="NEÚČAST"),Uvod!$E$6,_xlfn.RANK.EQ(Tabulka38111422834404652586470[[#This Row],[ ]],Tabulka38111422834404652586470[[ ]],1))</f>
        <v>#N/A</v>
      </c>
      <c r="AA27" s="78" t="s">
        <v>34</v>
      </c>
      <c r="AB27" s="79" t="e">
        <f>VLOOKUP(Tabulka38111422834404652586470[[#This Row],[Tým]],Tabulka17101363036424854606672[[Tým]:[ ]],2,FALSE)</f>
        <v>#N/A</v>
      </c>
      <c r="AC27" s="79" t="e">
        <f>VLOOKUP(Tabulka38111422834404652586470[[#This Row],[Tým]],Tabulka17101363036424854606672[[Tým]:[ ]],3,FALSE)</f>
        <v>#N/A</v>
      </c>
      <c r="AD27" s="80" t="e">
        <f>VLOOKUP(Tabulka38111422834404652586470[[#This Row],[Tým]],Tabulka17101363036424854606672[[Tým]:[ ]],4,FALSE)</f>
        <v>#N/A</v>
      </c>
      <c r="AE27" s="80" t="e">
        <f>VLOOKUP(Tabulka38111422834404652586470[[#This Row],[Tým]],Tabulka17101363036424854606672[[Tým]:[ ]],5,FALSE)</f>
        <v>#N/A</v>
      </c>
      <c r="AF27" s="81" t="e">
        <f>IF(Tabulka38111422834404652586470[[#This Row],[Výsledný čas]]="N",5,IF(Tabulka38111422834404652586470[[#This Row],[Výsledný čas]]="D",0,IF(Tabulka38111422834404652586470[[#This Row],[Výsledný čas]]="NEÚČAST",0,Tabulka8[[#Totals],[Týmy ženy]]+6-Tabulka38111422834404652586470[[#This Row],[Umístění]])))</f>
        <v>#N/A</v>
      </c>
      <c r="AH27" s="77" t="e">
        <f>_xlfn.RANK.EQ(Tabulka59121532935414753596571[[#This Row],[Body]],Tabulka59121532935414753596571[Body],0)</f>
        <v>#N/A</v>
      </c>
      <c r="AI27" s="78" t="s">
        <v>34</v>
      </c>
      <c r="AJ27" s="81" t="e">
        <f>VLOOKUP(Tabulka59121532935414753596571[[#This Row],[Tým]],Tabulka38111422834404652586470[[Tým]:[Body]],6,FALSE)+Tabulka59121532935414753596571[[#This Row],[ ]]</f>
        <v>#N/A</v>
      </c>
      <c r="AK27" s="75" t="e">
        <f>VLOOKUP(Tabulka59121532935414753596571[[#This Row],[Tým]],Tabulka591215329354147535965[[Tým]:[Body]],2,FALSE)</f>
        <v>#N/A</v>
      </c>
      <c r="AL27" s="92" t="e">
        <f>Tabulka59121532935414753596571[[#This Row],[Umístění]]</f>
        <v>#N/A</v>
      </c>
      <c r="AM27" s="15"/>
      <c r="AP27" s="1"/>
    </row>
    <row r="28" spans="2:42" ht="24.95" customHeight="1" x14ac:dyDescent="0.4">
      <c r="D28" s="16"/>
      <c r="P28" s="7"/>
      <c r="Q28" s="8"/>
      <c r="R28" s="8"/>
      <c r="Z28" s="31" t="e">
        <f>IF(OR(Tabulka38111422834404652586470[Výsledný čas]="N",Tabulka38111422834404652586470[Výsledný čas]="D",Tabulka38111422834404652586470[Výsledný čas]="NEÚČAST"),Uvod!$E$6,_xlfn.RANK.EQ(Tabulka38111422834404652586470[[#This Row],[ ]],Tabulka38111422834404652586470[[ ]],1))</f>
        <v>#N/A</v>
      </c>
      <c r="AA28" s="51" t="s">
        <v>35</v>
      </c>
      <c r="AB28" s="44" t="e">
        <f>VLOOKUP(Tabulka38111422834404652586470[[#This Row],[Tým]],Tabulka17101363036424854606672[[Tým]:[ ]],2,FALSE)</f>
        <v>#N/A</v>
      </c>
      <c r="AC28" s="44" t="e">
        <f>VLOOKUP(Tabulka38111422834404652586470[[#This Row],[Tým]],Tabulka17101363036424854606672[[Tým]:[ ]],3,FALSE)</f>
        <v>#N/A</v>
      </c>
      <c r="AD28" s="25" t="e">
        <f>VLOOKUP(Tabulka38111422834404652586470[[#This Row],[Tým]],Tabulka17101363036424854606672[[Tým]:[ ]],4,FALSE)</f>
        <v>#N/A</v>
      </c>
      <c r="AE28" s="25" t="e">
        <f>VLOOKUP(Tabulka38111422834404652586470[[#This Row],[Tým]],Tabulka17101363036424854606672[[Tým]:[ ]],5,FALSE)</f>
        <v>#N/A</v>
      </c>
      <c r="AF28" s="29" t="e">
        <f>IF(Tabulka38111422834404652586470[[#This Row],[Výsledný čas]]="N",5,IF(Tabulka38111422834404652586470[[#This Row],[Výsledný čas]]="D",0,IF(Tabulka38111422834404652586470[[#This Row],[Výsledný čas]]="NEÚČAST",0,Tabulka8[[#Totals],[Týmy ženy]]+6-Tabulka38111422834404652586470[[#This Row],[Umístění]])))</f>
        <v>#N/A</v>
      </c>
      <c r="AH28" s="31" t="e">
        <f>_xlfn.RANK.EQ(Tabulka59121532935414753596571[[#This Row],[Body]],Tabulka59121532935414753596571[Body],0)</f>
        <v>#N/A</v>
      </c>
      <c r="AI28" s="51" t="s">
        <v>35</v>
      </c>
      <c r="AJ28" s="29" t="e">
        <f>VLOOKUP(Tabulka59121532935414753596571[[#This Row],[Tým]],Tabulka38111422834404652586470[[Tým]:[Body]],6,FALSE)+Tabulka59121532935414753596571[[#This Row],[ ]]</f>
        <v>#N/A</v>
      </c>
      <c r="AK28" s="75" t="e">
        <f>VLOOKUP(Tabulka59121532935414753596571[[#This Row],[Tým]],Tabulka591215329354147535965[[Tým]:[Body]],2,FALSE)</f>
        <v>#N/A</v>
      </c>
      <c r="AL28" s="47" t="e">
        <f>Tabulka59121532935414753596571[[#This Row],[Umístění]]</f>
        <v>#N/A</v>
      </c>
      <c r="AM28" s="15"/>
      <c r="AP28" s="1"/>
    </row>
    <row r="29" spans="2:42" ht="24.95" customHeight="1" x14ac:dyDescent="0.4">
      <c r="D29" s="16"/>
      <c r="N29" s="68"/>
      <c r="P29" s="7"/>
      <c r="Q29" s="8"/>
      <c r="R29" s="8"/>
      <c r="Z29" s="31" t="e">
        <f>IF(OR(Tabulka38111422834404652586470[Výsledný čas]="N",Tabulka38111422834404652586470[Výsledný čas]="D",Tabulka38111422834404652586470[Výsledný čas]="NEÚČAST"),Uvod!$E$6,_xlfn.RANK.EQ(Tabulka38111422834404652586470[[#This Row],[ ]],Tabulka38111422834404652586470[[ ]],1))</f>
        <v>#N/A</v>
      </c>
      <c r="AA29" s="51" t="s">
        <v>22</v>
      </c>
      <c r="AB29" s="44" t="e">
        <f>VLOOKUP(Tabulka38111422834404652586470[[#This Row],[Tým]],Tabulka17101363036424854606672[[Tým]:[ ]],2,FALSE)</f>
        <v>#N/A</v>
      </c>
      <c r="AC29" s="44" t="e">
        <f>VLOOKUP(Tabulka38111422834404652586470[[#This Row],[Tým]],Tabulka17101363036424854606672[[Tým]:[ ]],3,FALSE)</f>
        <v>#N/A</v>
      </c>
      <c r="AD29" s="25" t="e">
        <f>VLOOKUP(Tabulka38111422834404652586470[[#This Row],[Tým]],Tabulka17101363036424854606672[[Tým]:[ ]],4,FALSE)</f>
        <v>#N/A</v>
      </c>
      <c r="AE29" s="25" t="e">
        <f>VLOOKUP(Tabulka38111422834404652586470[[#This Row],[Tým]],Tabulka17101363036424854606672[[Tým]:[ ]],5,FALSE)</f>
        <v>#N/A</v>
      </c>
      <c r="AF29" s="29" t="e">
        <f>IF(Tabulka38111422834404652586470[[#This Row],[Výsledný čas]]="N",5,IF(Tabulka38111422834404652586470[[#This Row],[Výsledný čas]]="D",0,IF(Tabulka38111422834404652586470[[#This Row],[Výsledný čas]]="NEÚČAST",0,Tabulka8[[#Totals],[Týmy ženy]]+6-Tabulka38111422834404652586470[[#This Row],[Umístění]])))</f>
        <v>#N/A</v>
      </c>
      <c r="AH29" s="31" t="e">
        <f>_xlfn.RANK.EQ(Tabulka59121532935414753596571[[#This Row],[Body]],Tabulka59121532935414753596571[Body],0)</f>
        <v>#N/A</v>
      </c>
      <c r="AI29" s="51" t="s">
        <v>22</v>
      </c>
      <c r="AJ29" s="29" t="e">
        <f>VLOOKUP(Tabulka59121532935414753596571[[#This Row],[Tým]],Tabulka38111422834404652586470[[Tým]:[Body]],6,FALSE)+Tabulka59121532935414753596571[[#This Row],[ ]]</f>
        <v>#N/A</v>
      </c>
      <c r="AK29" s="75" t="e">
        <f>VLOOKUP(Tabulka59121532935414753596571[[#This Row],[Tým]],Tabulka591215329354147535965[[Tým]:[Body]],2,FALSE)</f>
        <v>#N/A</v>
      </c>
      <c r="AL29" s="47" t="e">
        <f>Tabulka59121532935414753596571[[#This Row],[Umístění]]</f>
        <v>#N/A</v>
      </c>
      <c r="AP29" s="1"/>
    </row>
    <row r="30" spans="2:42" ht="24.95" customHeight="1" thickBot="1" x14ac:dyDescent="0.45">
      <c r="D30" s="16"/>
      <c r="N30" s="68"/>
      <c r="P30" s="7"/>
      <c r="Q30" s="8"/>
      <c r="R30" s="8"/>
      <c r="Z30" s="31" t="e">
        <f>IF(OR(Tabulka38111422834404652586470[Výsledný čas]="N",Tabulka38111422834404652586470[Výsledný čas]="D",Tabulka38111422834404652586470[Výsledný čas]="NEÚČAST"),Uvod!$E$6,_xlfn.RANK.EQ(Tabulka38111422834404652586470[[#This Row],[ ]],Tabulka38111422834404652586470[[ ]],1))</f>
        <v>#N/A</v>
      </c>
      <c r="AA30" s="51" t="s">
        <v>21</v>
      </c>
      <c r="AB30" s="44" t="e">
        <f>VLOOKUP(Tabulka38111422834404652586470[[#This Row],[Tým]],Tabulka17101363036424854606672[[Tým]:[ ]],2,FALSE)</f>
        <v>#N/A</v>
      </c>
      <c r="AC30" s="44" t="e">
        <f>VLOOKUP(Tabulka38111422834404652586470[[#This Row],[Tým]],Tabulka17101363036424854606672[[Tým]:[ ]],3,FALSE)</f>
        <v>#N/A</v>
      </c>
      <c r="AD30" s="25" t="e">
        <f>VLOOKUP(Tabulka38111422834404652586470[[#This Row],[Tým]],Tabulka17101363036424854606672[[Tým]:[ ]],4,FALSE)</f>
        <v>#N/A</v>
      </c>
      <c r="AE30" s="25" t="e">
        <f>VLOOKUP(Tabulka38111422834404652586470[[#This Row],[Tým]],Tabulka17101363036424854606672[[Tým]:[ ]],5,FALSE)</f>
        <v>#N/A</v>
      </c>
      <c r="AF30" s="29" t="e">
        <f>IF(Tabulka38111422834404652586470[[#This Row],[Výsledný čas]]="N",5,IF(Tabulka38111422834404652586470[[#This Row],[Výsledný čas]]="D",0,IF(Tabulka38111422834404652586470[[#This Row],[Výsledný čas]]="NEÚČAST",0,Tabulka8[[#Totals],[Týmy ženy]]+6-Tabulka38111422834404652586470[[#This Row],[Umístění]])))</f>
        <v>#N/A</v>
      </c>
      <c r="AH30" s="31" t="e">
        <f>_xlfn.RANK.EQ(Tabulka59121532935414753596571[[#This Row],[Body]],Tabulka59121532935414753596571[Body],0)</f>
        <v>#N/A</v>
      </c>
      <c r="AI30" s="51" t="s">
        <v>21</v>
      </c>
      <c r="AJ30" s="29" t="e">
        <f>VLOOKUP(Tabulka59121532935414753596571[[#This Row],[Tým]],Tabulka38111422834404652586470[[Tým]:[Body]],6,FALSE)+Tabulka59121532935414753596571[[#This Row],[ ]]</f>
        <v>#N/A</v>
      </c>
      <c r="AK30" s="76" t="e">
        <f>VLOOKUP(Tabulka59121532935414753596571[[#This Row],[Tým]],Tabulka591215329354147535965[[Tým]:[Body]],2,FALSE)</f>
        <v>#N/A</v>
      </c>
      <c r="AL30" s="47" t="e">
        <f>Tabulka59121532935414753596571[[#This Row],[Umístění]]</f>
        <v>#N/A</v>
      </c>
      <c r="AP30" s="1"/>
    </row>
    <row r="31" spans="2:42" ht="24.95" customHeight="1" x14ac:dyDescent="0.4">
      <c r="D31" s="16"/>
      <c r="P31" s="7"/>
      <c r="Q31" s="8"/>
      <c r="R31" s="8"/>
      <c r="Z31" s="31" t="e">
        <f>IF(OR(Tabulka38111422834404652586470[Výsledný čas]="N",Tabulka38111422834404652586470[Výsledný čas]="D",Tabulka38111422834404652586470[Výsledný čas]="NEÚČAST"),Uvod!$E$6,_xlfn.RANK.EQ(Tabulka38111422834404652586470[[#This Row],[ ]],Tabulka38111422834404652586470[[ ]],1))</f>
        <v>#N/A</v>
      </c>
      <c r="AA31" s="51" t="s">
        <v>23</v>
      </c>
      <c r="AB31" s="44" t="e">
        <f>VLOOKUP(Tabulka38111422834404652586470[[#This Row],[Tým]],Tabulka17101363036424854606672[[Tým]:[ ]],2,FALSE)</f>
        <v>#N/A</v>
      </c>
      <c r="AC31" s="44" t="e">
        <f>VLOOKUP(Tabulka38111422834404652586470[[#This Row],[Tým]],Tabulka17101363036424854606672[[Tým]:[ ]],3,FALSE)</f>
        <v>#N/A</v>
      </c>
      <c r="AD31" s="25" t="e">
        <f>VLOOKUP(Tabulka38111422834404652586470[[#This Row],[Tým]],Tabulka17101363036424854606672[[Tým]:[ ]],4,FALSE)</f>
        <v>#N/A</v>
      </c>
      <c r="AE31" s="25" t="e">
        <f>VLOOKUP(Tabulka38111422834404652586470[[#This Row],[Tým]],Tabulka17101363036424854606672[[Tým]:[ ]],5,FALSE)</f>
        <v>#N/A</v>
      </c>
      <c r="AF31" s="29" t="e">
        <f>IF(Tabulka38111422834404652586470[[#This Row],[Výsledný čas]]="N",5,IF(Tabulka38111422834404652586470[[#This Row],[Výsledný čas]]="D",0,IF(Tabulka38111422834404652586470[[#This Row],[Výsledný čas]]="NEÚČAST",0,Tabulka8[[#Totals],[Týmy ženy]]+6-Tabulka38111422834404652586470[[#This Row],[Umístění]])))</f>
        <v>#N/A</v>
      </c>
      <c r="AH31" s="31" t="e">
        <f>_xlfn.RANK.EQ(Tabulka59121532935414753596571[[#This Row],[Body]],Tabulka59121532935414753596571[Body],0)</f>
        <v>#N/A</v>
      </c>
      <c r="AI31" s="51" t="s">
        <v>23</v>
      </c>
      <c r="AJ31" s="29" t="e">
        <f>VLOOKUP(Tabulka59121532935414753596571[[#This Row],[Tým]],Tabulka38111422834404652586470[[Tým]:[Body]],6,FALSE)+Tabulka59121532935414753596571[[#This Row],[ ]]</f>
        <v>#N/A</v>
      </c>
      <c r="AK31" s="82" t="e">
        <f>VLOOKUP(Tabulka59121532935414753596571[[#This Row],[Tým]],Tabulka591215329354147535965[[Tým]:[Body]],2,FALSE)</f>
        <v>#N/A</v>
      </c>
      <c r="AL31" s="47" t="e">
        <f>Tabulka59121532935414753596571[[#This Row],[Umístění]]</f>
        <v>#N/A</v>
      </c>
      <c r="AP31" s="1"/>
    </row>
    <row r="32" spans="2:42" ht="24.95" customHeight="1" x14ac:dyDescent="0.4">
      <c r="D32" s="16"/>
      <c r="P32" s="7"/>
      <c r="Q32" s="8"/>
      <c r="R32" s="8"/>
      <c r="Z32" s="31" t="e">
        <f>IF(OR(Tabulka38111422834404652586470[Výsledný čas]="N",Tabulka38111422834404652586470[Výsledný čas]="D",Tabulka38111422834404652586470[Výsledný čas]="NEÚČAST"),Uvod!$E$6,_xlfn.RANK.EQ(Tabulka38111422834404652586470[[#This Row],[ ]],Tabulka38111422834404652586470[[ ]],1))</f>
        <v>#N/A</v>
      </c>
      <c r="AA32" s="51" t="s">
        <v>19</v>
      </c>
      <c r="AB32" s="44" t="e">
        <f>VLOOKUP(Tabulka38111422834404652586470[[#This Row],[Tým]],Tabulka17101363036424854606672[[Tým]:[ ]],2,FALSE)</f>
        <v>#N/A</v>
      </c>
      <c r="AC32" s="44" t="e">
        <f>VLOOKUP(Tabulka38111422834404652586470[[#This Row],[Tým]],Tabulka17101363036424854606672[[Tým]:[ ]],3,FALSE)</f>
        <v>#N/A</v>
      </c>
      <c r="AD32" s="25" t="e">
        <f>VLOOKUP(Tabulka38111422834404652586470[[#This Row],[Tým]],Tabulka17101363036424854606672[[Tým]:[ ]],4,FALSE)</f>
        <v>#N/A</v>
      </c>
      <c r="AE32" s="25" t="e">
        <f>VLOOKUP(Tabulka38111422834404652586470[[#This Row],[Tým]],Tabulka17101363036424854606672[[Tým]:[ ]],5,FALSE)</f>
        <v>#N/A</v>
      </c>
      <c r="AF32" s="29" t="e">
        <f>IF(Tabulka38111422834404652586470[[#This Row],[Výsledný čas]]="N",5,IF(Tabulka38111422834404652586470[[#This Row],[Výsledný čas]]="D",0,IF(Tabulka38111422834404652586470[[#This Row],[Výsledný čas]]="NEÚČAST",0,Tabulka8[[#Totals],[Týmy ženy]]+6-Tabulka38111422834404652586470[[#This Row],[Umístění]])))</f>
        <v>#N/A</v>
      </c>
      <c r="AH32" s="31" t="e">
        <f>_xlfn.RANK.EQ(Tabulka59121532935414753596571[[#This Row],[Body]],Tabulka59121532935414753596571[Body],0)</f>
        <v>#N/A</v>
      </c>
      <c r="AI32" s="51" t="s">
        <v>19</v>
      </c>
      <c r="AJ32" s="29" t="e">
        <f>VLOOKUP(Tabulka59121532935414753596571[[#This Row],[Tým]],Tabulka38111422834404652586470[[Tým]:[Body]],6,FALSE)+Tabulka59121532935414753596571[[#This Row],[ ]]</f>
        <v>#N/A</v>
      </c>
      <c r="AK32" s="82" t="e">
        <f>VLOOKUP(Tabulka59121532935414753596571[[#This Row],[Tým]],Tabulka591215329354147535965[[Tým]:[Body]],2,FALSE)</f>
        <v>#N/A</v>
      </c>
      <c r="AL32" s="47" t="e">
        <f>Tabulka59121532935414753596571[[#This Row],[Umístění]]</f>
        <v>#N/A</v>
      </c>
      <c r="AP32" s="1"/>
    </row>
    <row r="33" spans="4:42" ht="24.95" customHeight="1" x14ac:dyDescent="0.4">
      <c r="D33" s="16"/>
      <c r="P33" s="7"/>
      <c r="Q33" s="8"/>
      <c r="R33" s="8"/>
      <c r="Z33" s="31" t="e">
        <f>IF(OR(Tabulka38111422834404652586470[Výsledný čas]="N",Tabulka38111422834404652586470[Výsledný čas]="D",Tabulka38111422834404652586470[Výsledný čas]="NEÚČAST"),Uvod!$E$6,_xlfn.RANK.EQ(Tabulka38111422834404652586470[[#This Row],[ ]],Tabulka38111422834404652586470[[ ]],1))</f>
        <v>#N/A</v>
      </c>
      <c r="AA33" s="51" t="s">
        <v>15</v>
      </c>
      <c r="AB33" s="44" t="e">
        <f>VLOOKUP(Tabulka38111422834404652586470[[#This Row],[Tým]],Tabulka17101363036424854606672[[Tým]:[ ]],2,FALSE)</f>
        <v>#N/A</v>
      </c>
      <c r="AC33" s="44" t="e">
        <f>VLOOKUP(Tabulka38111422834404652586470[[#This Row],[Tým]],Tabulka17101363036424854606672[[Tým]:[ ]],3,FALSE)</f>
        <v>#N/A</v>
      </c>
      <c r="AD33" s="25" t="e">
        <f>VLOOKUP(Tabulka38111422834404652586470[[#This Row],[Tým]],Tabulka17101363036424854606672[[Tým]:[ ]],4,FALSE)</f>
        <v>#N/A</v>
      </c>
      <c r="AE33" s="25" t="e">
        <f>VLOOKUP(Tabulka38111422834404652586470[[#This Row],[Tým]],Tabulka17101363036424854606672[[Tým]:[ ]],5,FALSE)</f>
        <v>#N/A</v>
      </c>
      <c r="AF33" s="29" t="e">
        <f>IF(Tabulka38111422834404652586470[[#This Row],[Výsledný čas]]="N",5,IF(Tabulka38111422834404652586470[[#This Row],[Výsledný čas]]="D",0,IF(Tabulka38111422834404652586470[[#This Row],[Výsledný čas]]="NEÚČAST",0,Tabulka8[[#Totals],[Týmy ženy]]+6-Tabulka38111422834404652586470[[#This Row],[Umístění]])))</f>
        <v>#N/A</v>
      </c>
      <c r="AH33" s="31" t="e">
        <f>_xlfn.RANK.EQ(Tabulka59121532935414753596571[[#This Row],[Body]],Tabulka59121532935414753596571[Body],0)</f>
        <v>#N/A</v>
      </c>
      <c r="AI33" s="51" t="s">
        <v>15</v>
      </c>
      <c r="AJ33" s="29" t="e">
        <f>VLOOKUP(Tabulka59121532935414753596571[[#This Row],[Tým]],Tabulka38111422834404652586470[[Tým]:[Body]],6,FALSE)+Tabulka59121532935414753596571[[#This Row],[ ]]</f>
        <v>#N/A</v>
      </c>
      <c r="AK33" s="82" t="e">
        <f>VLOOKUP(Tabulka59121532935414753596571[[#This Row],[Tým]],Tabulka591215329354147535965[[Tým]:[Body]],2,FALSE)</f>
        <v>#N/A</v>
      </c>
      <c r="AL33" s="47" t="e">
        <f>Tabulka59121532935414753596571[[#This Row],[Umístění]]</f>
        <v>#N/A</v>
      </c>
      <c r="AP33" s="1"/>
    </row>
    <row r="34" spans="4:42" ht="24.95" customHeight="1" x14ac:dyDescent="0.4">
      <c r="D34" s="16"/>
      <c r="N34" s="70"/>
      <c r="P34" s="7"/>
      <c r="Q34" s="8"/>
      <c r="R34" s="8"/>
      <c r="Z34" s="31" t="e">
        <f>IF(OR(Tabulka38111422834404652586470[Výsledný čas]="N",Tabulka38111422834404652586470[Výsledný čas]="D",Tabulka38111422834404652586470[Výsledný čas]="NEÚČAST"),Uvod!$E$6,_xlfn.RANK.EQ(Tabulka38111422834404652586470[[#This Row],[ ]],Tabulka38111422834404652586470[[ ]],1))</f>
        <v>#N/A</v>
      </c>
      <c r="AA34" s="51" t="s">
        <v>16</v>
      </c>
      <c r="AB34" s="44" t="e">
        <f>VLOOKUP(Tabulka38111422834404652586470[[#This Row],[Tým]],Tabulka17101363036424854606672[[Tým]:[ ]],2,FALSE)</f>
        <v>#N/A</v>
      </c>
      <c r="AC34" s="44" t="e">
        <f>VLOOKUP(Tabulka38111422834404652586470[[#This Row],[Tým]],Tabulka17101363036424854606672[[Tým]:[ ]],3,FALSE)</f>
        <v>#N/A</v>
      </c>
      <c r="AD34" s="25" t="e">
        <f>VLOOKUP(Tabulka38111422834404652586470[[#This Row],[Tým]],Tabulka17101363036424854606672[[Tým]:[ ]],4,FALSE)</f>
        <v>#N/A</v>
      </c>
      <c r="AE34" s="25" t="e">
        <f>VLOOKUP(Tabulka38111422834404652586470[[#This Row],[Tým]],Tabulka17101363036424854606672[[Tým]:[ ]],5,FALSE)</f>
        <v>#N/A</v>
      </c>
      <c r="AF34" s="29" t="e">
        <f>IF(Tabulka38111422834404652586470[[#This Row],[Výsledný čas]]="N",5,IF(Tabulka38111422834404652586470[[#This Row],[Výsledný čas]]="D",0,IF(Tabulka38111422834404652586470[[#This Row],[Výsledný čas]]="NEÚČAST",0,Tabulka8[[#Totals],[Týmy ženy]]+6-Tabulka38111422834404652586470[[#This Row],[Umístění]])))</f>
        <v>#N/A</v>
      </c>
      <c r="AH34" s="31" t="e">
        <f>_xlfn.RANK.EQ(Tabulka59121532935414753596571[[#This Row],[Body]],Tabulka59121532935414753596571[Body],0)</f>
        <v>#N/A</v>
      </c>
      <c r="AI34" s="51" t="s">
        <v>16</v>
      </c>
      <c r="AJ34" s="29" t="e">
        <f>VLOOKUP(Tabulka59121532935414753596571[[#This Row],[Tým]],Tabulka38111422834404652586470[[Tým]:[Body]],6,FALSE)+Tabulka59121532935414753596571[[#This Row],[ ]]</f>
        <v>#N/A</v>
      </c>
      <c r="AK34" s="82" t="e">
        <f>VLOOKUP(Tabulka59121532935414753596571[[#This Row],[Tým]],Tabulka591215329354147535965[[Tým]:[Body]],2,FALSE)</f>
        <v>#N/A</v>
      </c>
      <c r="AL34" s="47" t="e">
        <f>Tabulka59121532935414753596571[[#This Row],[Umístění]]</f>
        <v>#N/A</v>
      </c>
      <c r="AP34" s="1"/>
    </row>
    <row r="35" spans="4:42" ht="24.95" customHeight="1" x14ac:dyDescent="0.4">
      <c r="D35" s="16"/>
      <c r="N35" s="70"/>
      <c r="P35" s="7"/>
      <c r="Q35" s="8"/>
      <c r="R35" s="8"/>
      <c r="Z35" s="31" t="e">
        <f>IF(OR(Tabulka38111422834404652586470[Výsledný čas]="N",Tabulka38111422834404652586470[Výsledný čas]="D",Tabulka38111422834404652586470[Výsledný čas]="NEÚČAST"),Uvod!$E$6,_xlfn.RANK.EQ(Tabulka38111422834404652586470[[#This Row],[ ]],Tabulka38111422834404652586470[[ ]],1))</f>
        <v>#N/A</v>
      </c>
      <c r="AA35" s="51" t="s">
        <v>24</v>
      </c>
      <c r="AB35" s="44" t="e">
        <f>VLOOKUP(Tabulka38111422834404652586470[[#This Row],[Tým]],Tabulka17101363036424854606672[[Tým]:[ ]],2,FALSE)</f>
        <v>#N/A</v>
      </c>
      <c r="AC35" s="44" t="e">
        <f>VLOOKUP(Tabulka38111422834404652586470[[#This Row],[Tým]],Tabulka17101363036424854606672[[Tým]:[ ]],3,FALSE)</f>
        <v>#N/A</v>
      </c>
      <c r="AD35" s="25" t="e">
        <f>VLOOKUP(Tabulka38111422834404652586470[[#This Row],[Tým]],Tabulka17101363036424854606672[[Tým]:[ ]],4,FALSE)</f>
        <v>#N/A</v>
      </c>
      <c r="AE35" s="25" t="e">
        <f>VLOOKUP(Tabulka38111422834404652586470[[#This Row],[Tým]],Tabulka17101363036424854606672[[Tým]:[ ]],5,FALSE)</f>
        <v>#N/A</v>
      </c>
      <c r="AF35" s="29" t="e">
        <f>IF(Tabulka38111422834404652586470[[#This Row],[Výsledný čas]]="N",5,IF(Tabulka38111422834404652586470[[#This Row],[Výsledný čas]]="D",0,IF(Tabulka38111422834404652586470[[#This Row],[Výsledný čas]]="NEÚČAST",0,Tabulka8[[#Totals],[Týmy ženy]]+6-Tabulka38111422834404652586470[[#This Row],[Umístění]])))</f>
        <v>#N/A</v>
      </c>
      <c r="AH35" s="31" t="e">
        <f>_xlfn.RANK.EQ(Tabulka59121532935414753596571[[#This Row],[Body]],Tabulka59121532935414753596571[Body],0)</f>
        <v>#N/A</v>
      </c>
      <c r="AI35" s="51" t="s">
        <v>24</v>
      </c>
      <c r="AJ35" s="29" t="e">
        <f>VLOOKUP(Tabulka59121532935414753596571[[#This Row],[Tým]],Tabulka38111422834404652586470[[Tým]:[Body]],6,FALSE)+Tabulka59121532935414753596571[[#This Row],[ ]]</f>
        <v>#N/A</v>
      </c>
      <c r="AK35" s="82" t="e">
        <f>VLOOKUP(Tabulka59121532935414753596571[[#This Row],[Tým]],Tabulka591215329354147535965[[Tým]:[Body]],2,FALSE)</f>
        <v>#N/A</v>
      </c>
      <c r="AL35" s="47" t="e">
        <f>Tabulka59121532935414753596571[[#This Row],[Umístění]]</f>
        <v>#N/A</v>
      </c>
      <c r="AP35" s="1"/>
    </row>
    <row r="36" spans="4:42" ht="24.95" customHeight="1" thickBot="1" x14ac:dyDescent="0.45">
      <c r="D36" s="16"/>
      <c r="P36" s="7"/>
      <c r="Q36" s="8"/>
      <c r="R36" s="8"/>
      <c r="Z36" s="33" t="e">
        <f>IF(OR(Tabulka38111422834404652586470[Výsledný čas]="N",Tabulka38111422834404652586470[Výsledný čas]="D",Tabulka38111422834404652586470[Výsledný čas]="NEÚČAST"),Uvod!$E$6,_xlfn.RANK.EQ(Tabulka38111422834404652586470[[#This Row],[ ]],Tabulka38111422834404652586470[[ ]],1))</f>
        <v>#N/A</v>
      </c>
      <c r="AA36" s="62" t="s">
        <v>36</v>
      </c>
      <c r="AB36" s="45" t="e">
        <f>VLOOKUP(Tabulka38111422834404652586470[[#This Row],[Tým]],Tabulka17101363036424854606672[[Tým]:[ ]],2,FALSE)</f>
        <v>#N/A</v>
      </c>
      <c r="AC36" s="45" t="e">
        <f>VLOOKUP(Tabulka38111422834404652586470[[#This Row],[Tým]],Tabulka17101363036424854606672[[Tým]:[ ]],3,FALSE)</f>
        <v>#N/A</v>
      </c>
      <c r="AD36" s="34" t="e">
        <f>VLOOKUP(Tabulka38111422834404652586470[[#This Row],[Tým]],Tabulka17101363036424854606672[[Tým]:[ ]],4,FALSE)</f>
        <v>#N/A</v>
      </c>
      <c r="AE36" s="34" t="e">
        <f>VLOOKUP(Tabulka38111422834404652586470[[#This Row],[Tým]],Tabulka17101363036424854606672[[Tým]:[ ]],5,FALSE)</f>
        <v>#N/A</v>
      </c>
      <c r="AF36" s="36" t="e">
        <f>IF(Tabulka38111422834404652586470[[#This Row],[Výsledný čas]]="N",5,IF(Tabulka38111422834404652586470[[#This Row],[Výsledný čas]]="D",0,IF(Tabulka38111422834404652586470[[#This Row],[Výsledný čas]]="NEÚČAST",0,Tabulka8[[#Totals],[Týmy ženy]]+6-Tabulka38111422834404652586470[[#This Row],[Umístění]])))</f>
        <v>#N/A</v>
      </c>
      <c r="AH36" s="33" t="e">
        <f>_xlfn.RANK.EQ(Tabulka59121532935414753596571[[#This Row],[Body]],Tabulka59121532935414753596571[Body],0)</f>
        <v>#N/A</v>
      </c>
      <c r="AI36" s="62" t="s">
        <v>36</v>
      </c>
      <c r="AJ36" s="36" t="e">
        <f>VLOOKUP(Tabulka59121532935414753596571[[#This Row],[Tým]],Tabulka38111422834404652586470[[Tým]:[Body]],6,FALSE)+Tabulka59121532935414753596571[[#This Row],[ ]]</f>
        <v>#N/A</v>
      </c>
      <c r="AK36" s="82" t="e">
        <f>VLOOKUP(Tabulka59121532935414753596571[[#This Row],[Tým]],Tabulka591215329354147535965[[Tým]:[Body]],2,FALSE)</f>
        <v>#N/A</v>
      </c>
      <c r="AL36" s="93" t="e">
        <f>Tabulka59121532935414753596571[[#This Row],[Umístění]]</f>
        <v>#N/A</v>
      </c>
      <c r="AP36" s="1"/>
    </row>
    <row r="37" spans="4:42" ht="24.95" customHeight="1" x14ac:dyDescent="0.4">
      <c r="D37" s="16"/>
      <c r="P37" s="7"/>
      <c r="Q37" s="8"/>
      <c r="R37" s="8"/>
      <c r="AB37" s="3"/>
      <c r="AC37" s="3"/>
      <c r="AK37" s="4"/>
    </row>
    <row r="38" spans="4:42" ht="24.95" customHeight="1" x14ac:dyDescent="0.4">
      <c r="D38" s="16"/>
      <c r="P38" s="7"/>
      <c r="Q38" s="8"/>
      <c r="R38" s="8"/>
      <c r="AB38" s="3"/>
      <c r="AC38" s="3"/>
      <c r="AK38" s="4"/>
    </row>
    <row r="39" spans="4:42" ht="24.95" customHeight="1" x14ac:dyDescent="0.4">
      <c r="D39" s="16"/>
      <c r="N39" s="68"/>
      <c r="P39" s="7"/>
      <c r="Q39" s="8"/>
      <c r="R39" s="8"/>
      <c r="AB39" s="3"/>
      <c r="AC39" s="3"/>
      <c r="AK39" s="4"/>
    </row>
    <row r="40" spans="4:42" ht="24.95" customHeight="1" x14ac:dyDescent="0.4">
      <c r="D40" s="16"/>
      <c r="N40" s="68"/>
      <c r="P40" s="7"/>
      <c r="Q40" s="8"/>
      <c r="R40" s="8"/>
      <c r="AB40" s="3"/>
      <c r="AC40" s="3"/>
      <c r="AK40" s="4"/>
    </row>
    <row r="41" spans="4:42" ht="24.95" customHeight="1" x14ac:dyDescent="0.4">
      <c r="D41" s="16"/>
      <c r="P41" s="7"/>
      <c r="Q41" s="8"/>
      <c r="R41" s="8"/>
      <c r="AB41" s="3"/>
      <c r="AC41" s="3"/>
      <c r="AK41" s="4"/>
    </row>
    <row r="42" spans="4:42" ht="24.95" customHeight="1" x14ac:dyDescent="0.4">
      <c r="D42" s="16"/>
      <c r="P42" s="7"/>
      <c r="Q42" s="8"/>
      <c r="R42" s="8"/>
      <c r="AB42" s="3"/>
      <c r="AC42" s="3"/>
      <c r="AK42" s="4"/>
    </row>
    <row r="43" spans="4:42" ht="24.95" customHeight="1" x14ac:dyDescent="0.4">
      <c r="D43" s="16"/>
      <c r="P43" s="7"/>
      <c r="Q43" s="8"/>
      <c r="R43" s="8"/>
      <c r="AB43" s="3"/>
      <c r="AC43" s="3"/>
      <c r="AK43" s="4"/>
    </row>
    <row r="44" spans="4:42" ht="24.95" customHeight="1" x14ac:dyDescent="0.4">
      <c r="D44" s="16"/>
      <c r="N44" s="68"/>
      <c r="P44" s="7"/>
      <c r="Q44" s="8"/>
      <c r="R44" s="8"/>
    </row>
    <row r="45" spans="4:42" ht="24.95" customHeight="1" x14ac:dyDescent="0.4">
      <c r="D45" s="16"/>
      <c r="N45" s="68"/>
      <c r="P45" s="7"/>
      <c r="Q45" s="8"/>
      <c r="R45" s="8"/>
    </row>
    <row r="46" spans="4:42" ht="24.95" customHeight="1" x14ac:dyDescent="0.4">
      <c r="D46" s="16"/>
      <c r="P46" s="7"/>
      <c r="Q46" s="8"/>
      <c r="R46" s="8"/>
    </row>
    <row r="47" spans="4:42" ht="24.95" customHeight="1" x14ac:dyDescent="0.4">
      <c r="D47" s="16"/>
      <c r="P47" s="7"/>
      <c r="Q47" s="8"/>
      <c r="R47" s="8"/>
    </row>
    <row r="48" spans="4:42" ht="24.95" customHeight="1" x14ac:dyDescent="0.4">
      <c r="D48" s="16"/>
      <c r="P48" s="7"/>
      <c r="Q48" s="8"/>
      <c r="R48" s="8"/>
    </row>
    <row r="49" spans="4:16" ht="24.95" customHeight="1" x14ac:dyDescent="0.4">
      <c r="D49" s="16"/>
      <c r="P49" s="16"/>
    </row>
    <row r="50" spans="4:16" ht="24.95" customHeight="1" x14ac:dyDescent="0.4">
      <c r="D50" s="16"/>
      <c r="P50" s="16"/>
    </row>
    <row r="51" spans="4:16" ht="24.95" customHeight="1" x14ac:dyDescent="0.4">
      <c r="D51" s="16"/>
      <c r="P51" s="16"/>
    </row>
    <row r="52" spans="4:16" ht="24.95" customHeight="1" x14ac:dyDescent="0.4">
      <c r="D52" s="16"/>
      <c r="P52" s="16"/>
    </row>
    <row r="53" spans="4:16" ht="24.95" customHeight="1" x14ac:dyDescent="0.4">
      <c r="D53" s="16"/>
      <c r="P53" s="16"/>
    </row>
  </sheetData>
  <mergeCells count="6">
    <mergeCell ref="B2:J2"/>
    <mergeCell ref="N2:V2"/>
    <mergeCell ref="Z2:AF2"/>
    <mergeCell ref="AH2:AK2"/>
    <mergeCell ref="Z25:AF25"/>
    <mergeCell ref="AH25:AK25"/>
  </mergeCells>
  <phoneticPr fontId="12" type="noConversion"/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18C8A-83C6-4A5C-A09B-CB53C32E6F26}">
  <dimension ref="A1:AP53"/>
  <sheetViews>
    <sheetView showGridLines="0" zoomScale="55" zoomScaleNormal="55" workbookViewId="0">
      <selection activeCell="AH2" sqref="AH2:AK2"/>
    </sheetView>
  </sheetViews>
  <sheetFormatPr defaultRowHeight="26.25" x14ac:dyDescent="0.4"/>
  <cols>
    <col min="1" max="1" width="5.7109375" style="1" customWidth="1"/>
    <col min="2" max="3" width="16.7109375" style="1" customWidth="1"/>
    <col min="4" max="4" width="35.7109375" style="1" customWidth="1"/>
    <col min="5" max="6" width="16.7109375" style="1" customWidth="1"/>
    <col min="7" max="7" width="20.7109375" style="1" customWidth="1"/>
    <col min="8" max="9" width="20.7109375" style="1" hidden="1" customWidth="1"/>
    <col min="10" max="12" width="11.5703125" style="1" hidden="1" customWidth="1"/>
    <col min="13" max="13" width="10.7109375" style="1" customWidth="1"/>
    <col min="14" max="15" width="16.7109375" style="1" customWidth="1"/>
    <col min="16" max="16" width="35.7109375" style="1" customWidth="1"/>
    <col min="17" max="18" width="16.7109375" style="1" customWidth="1"/>
    <col min="19" max="19" width="20.7109375" style="1" customWidth="1"/>
    <col min="20" max="21" width="20.7109375" style="1" hidden="1" customWidth="1"/>
    <col min="22" max="24" width="13.7109375" style="1" hidden="1" customWidth="1"/>
    <col min="25" max="25" width="9.140625" style="1"/>
    <col min="26" max="26" width="16.7109375" style="1" customWidth="1"/>
    <col min="27" max="27" width="35.7109375" style="1" customWidth="1"/>
    <col min="28" max="29" width="16.7109375" style="1" customWidth="1"/>
    <col min="30" max="30" width="20.7109375" style="1" customWidth="1"/>
    <col min="31" max="31" width="13.7109375" style="1" hidden="1" customWidth="1"/>
    <col min="32" max="32" width="12.7109375" style="1" customWidth="1"/>
    <col min="33" max="33" width="9.140625" style="1"/>
    <col min="34" max="34" width="16.7109375" style="1" customWidth="1"/>
    <col min="35" max="35" width="35.7109375" style="1" customWidth="1"/>
    <col min="36" max="36" width="12.7109375" style="1" customWidth="1"/>
    <col min="37" max="38" width="34.42578125" style="1" hidden="1" customWidth="1"/>
    <col min="39" max="41" width="9.140625" style="1"/>
    <col min="42" max="16384" width="9.140625" style="2"/>
  </cols>
  <sheetData>
    <row r="1" spans="1:42" ht="24.95" customHeight="1" thickBot="1" x14ac:dyDescent="0.45"/>
    <row r="2" spans="1:42" ht="24.95" customHeight="1" x14ac:dyDescent="0.4">
      <c r="A2" s="9"/>
      <c r="B2" s="317" t="str">
        <f>"Výsledky - Soutěže "&amp;Uvod!A13&amp;" kola NHHL "&amp;TEXT(Uvod!B13,"d.m. rrrr")&amp;" "&amp;Uvod!C13&amp;" - MUŽI "</f>
        <v xml:space="preserve">Výsledky - Soutěže 11. kola NHHL 8.9. 2023 Služovice - MUŽI </v>
      </c>
      <c r="C2" s="318"/>
      <c r="D2" s="318"/>
      <c r="E2" s="318"/>
      <c r="F2" s="318"/>
      <c r="G2" s="318"/>
      <c r="H2" s="318"/>
      <c r="I2" s="318"/>
      <c r="J2" s="319"/>
      <c r="K2" s="177"/>
      <c r="L2" s="177"/>
      <c r="M2" s="15"/>
      <c r="N2" s="308" t="str">
        <f>"Výsledky - Soutěže "&amp;Uvod!A13&amp;" kola NHHL "&amp;TEXT(Uvod!B13,"d.m. rrrr")&amp;" "&amp;Uvod!C13&amp;" - ŽENY "</f>
        <v xml:space="preserve">Výsledky - Soutěže 11. kola NHHL 8.9. 2023 Služovice - ŽENY </v>
      </c>
      <c r="O2" s="309"/>
      <c r="P2" s="309"/>
      <c r="Q2" s="309"/>
      <c r="R2" s="309"/>
      <c r="S2" s="309"/>
      <c r="T2" s="320"/>
      <c r="U2" s="320"/>
      <c r="V2" s="310"/>
      <c r="W2" s="180"/>
      <c r="X2" s="180"/>
      <c r="Y2" s="15"/>
      <c r="Z2" s="324" t="str">
        <f>B2</f>
        <v xml:space="preserve">Výsledky - Soutěže 11. kola NHHL 8.9. 2023 Služovice - MUŽI </v>
      </c>
      <c r="AA2" s="325"/>
      <c r="AB2" s="325"/>
      <c r="AC2" s="325"/>
      <c r="AD2" s="325"/>
      <c r="AE2" s="325"/>
      <c r="AF2" s="326"/>
      <c r="AH2" s="324" t="s">
        <v>141</v>
      </c>
      <c r="AI2" s="325"/>
      <c r="AJ2" s="325"/>
      <c r="AK2" s="326"/>
    </row>
    <row r="3" spans="1:42" ht="24.95" customHeight="1" thickBot="1" x14ac:dyDescent="0.45">
      <c r="B3" s="21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3" t="s">
        <v>5</v>
      </c>
      <c r="H3" s="22" t="s">
        <v>73</v>
      </c>
      <c r="I3" s="22" t="s">
        <v>74</v>
      </c>
      <c r="J3" s="1" t="s">
        <v>27</v>
      </c>
      <c r="N3" s="28" t="s">
        <v>0</v>
      </c>
      <c r="O3" s="24" t="s">
        <v>1</v>
      </c>
      <c r="P3" s="24" t="s">
        <v>2</v>
      </c>
      <c r="Q3" s="24" t="s">
        <v>3</v>
      </c>
      <c r="R3" s="24" t="s">
        <v>4</v>
      </c>
      <c r="S3" s="24" t="s">
        <v>5</v>
      </c>
      <c r="T3" s="233" t="s">
        <v>73</v>
      </c>
      <c r="U3" s="233" t="s">
        <v>74</v>
      </c>
      <c r="V3" s="29" t="s">
        <v>27</v>
      </c>
      <c r="Y3" s="15"/>
      <c r="Z3" s="58" t="s">
        <v>1</v>
      </c>
      <c r="AA3" s="59" t="s">
        <v>2</v>
      </c>
      <c r="AB3" s="59" t="s">
        <v>3</v>
      </c>
      <c r="AC3" s="59" t="s">
        <v>4</v>
      </c>
      <c r="AD3" s="59" t="s">
        <v>5</v>
      </c>
      <c r="AE3" s="59" t="s">
        <v>27</v>
      </c>
      <c r="AF3" s="60" t="s">
        <v>7</v>
      </c>
      <c r="AH3" s="58" t="s">
        <v>1</v>
      </c>
      <c r="AI3" s="59" t="s">
        <v>2</v>
      </c>
      <c r="AJ3" s="59" t="s">
        <v>7</v>
      </c>
      <c r="AK3" s="29" t="s">
        <v>27</v>
      </c>
      <c r="AL3" s="112" t="s">
        <v>73</v>
      </c>
      <c r="AM3" s="15"/>
      <c r="AP3" s="1"/>
    </row>
    <row r="4" spans="1:42" ht="24.95" customHeight="1" x14ac:dyDescent="0.4">
      <c r="B4" s="6"/>
      <c r="C4" s="1" t="str">
        <f>IF(Tabulka171013253137434955616773[[#This Row],[ ]]="","",IF(Tabulka171013253137434955616773[[#This Row],[ ]]="NEÚČAST","",IF(OR(Tabulka171013253137434955616773[Výsledný čas]="N",Tabulka171013253137434955616773[Výsledný čas]="D"),$L$4-$L$5,_xlfn.RANK.EQ(Tabulka171013253137434955616773[[#This Row],[ ]],Tabulka171013253137434955616773[[ ]],1))))</f>
        <v/>
      </c>
      <c r="D4" s="7"/>
      <c r="E4" s="8"/>
      <c r="F4" s="8"/>
      <c r="G4" s="9" t="str">
        <f>IF(OR(Tabulka171013253137434955616773[[#This Row],[LP]]="N",Tabulka171013253137434955616773[[#This Row],[PP]]="N"),"N",IF(OR(Tabulka171013253137434955616773[[#This Row],[LP]]="D",Tabulka171013253137434955616773[[#This Row],[PP]]="D"),"D",IF(OR(Tabulka171013253137434955616773[[#This Row],[LP]]="NEÚČAST",Tabulka171013253137434955616773[[#This Row],[PP]]="NEÚČAST"),"NEÚČAST",IF(OR(Tabulka171013253137434955616773[[#This Row],[LP]]="",Tabulka171013253137434955616773[[#This Row],[PP]]=""),"",MAX(Tabulka171013253137434955616773[[#This Row],[LP]:[PP]])))))</f>
        <v/>
      </c>
      <c r="H4" s="1">
        <f>COUNTIF(Tabulka171013253137434955616773[[#This Row],[Tým]],"*")</f>
        <v>0</v>
      </c>
      <c r="I4" s="1">
        <f>COUNTIF(Tabulka171013253137434955616773[[#This Row],[Výsledný čas]],"NEÚČAST")</f>
        <v>0</v>
      </c>
      <c r="J4" s="1" t="str">
        <f>IF(Tabulka171013253137434955616773[[#This Row],[Výsledný čas]]="N",998,IF(Tabulka171013253137434955616773[[#This Row],[Výsledný čas]]="D",998,IF(Tabulka171013253137434955616773[[#This Row],[Výsledný čas]]="","",Tabulka171013253137434955616773[[#This Row],[Výsledný čas]])))</f>
        <v/>
      </c>
      <c r="L4" s="1">
        <f>SUM(Tabulka171013253137434955616773[Sloupec1])</f>
        <v>0</v>
      </c>
      <c r="N4" s="30"/>
      <c r="O4" s="25" t="str">
        <f>IF(Tabulka1710136303642485460667278[[#This Row],[ ]]="","",IF(Tabulka1710136303642485460667278[[#This Row],[ ]]="NEÚČAST","",IF(OR(Tabulka1710136303642485460667278[Výsledný čas]="N",Tabulka1710136303642485460667278[Výsledný čas]="D"),$X$4-$X$5,_xlfn.RANK.EQ(Tabulka1710136303642485460667278[[#This Row],[ ]],Tabulka1710136303642485460667278[[ ]],1))))</f>
        <v/>
      </c>
      <c r="P4" s="26"/>
      <c r="Q4" s="5"/>
      <c r="R4" s="5"/>
      <c r="S4" s="25" t="str">
        <f>IF(OR(Tabulka1710136303642485460667278[[#This Row],[LP]]="N",Tabulka1710136303642485460667278[[#This Row],[PP]]="N"),"N",IF(OR(Tabulka1710136303642485460667278[[#This Row],[LP]]="D",Tabulka1710136303642485460667278[[#This Row],[PP]]="D"),"D",IF(OR(Tabulka1710136303642485460667278[[#This Row],[LP]]="NEÚČAST",Tabulka1710136303642485460667278[[#This Row],[PP]]="NEÚČAST"),"NEÚČAST",IF(OR(Tabulka1710136303642485460667278[[#This Row],[LP]]="",Tabulka1710136303642485460667278[[#This Row],[PP]]=""),"",MAX(Tabulka1710136303642485460667278[[#This Row],[LP]:[PP]])))))</f>
        <v/>
      </c>
      <c r="T4" s="46">
        <f>COUNTIF(Tabulka1710136303642485460667278[[#This Row],[Tým]],"*")</f>
        <v>0</v>
      </c>
      <c r="U4" s="46">
        <f>COUNTIF(Tabulka1710136303642485460667278[[#This Row],[Výsledný čas]],"NEÚČAST")</f>
        <v>0</v>
      </c>
      <c r="V4" s="29" t="str">
        <f>IF(Tabulka1710136303642485460667278[[#This Row],[Výsledný čas]]="N",998,IF(Tabulka1710136303642485460667278[[#This Row],[Výsledný čas]]="D",998,IF(Tabulka1710136303642485460667278[[#This Row],[Výsledný čas]]="","",Tabulka1710136303642485460667278[[#This Row],[Výsledný čas]])))</f>
        <v/>
      </c>
      <c r="X4" s="1">
        <f>SUM(Tabulka1710136303642485460667278[Sloupec1])</f>
        <v>0</v>
      </c>
      <c r="Y4" s="15"/>
      <c r="Z4" s="77" t="e">
        <f>IF(OR(Tabulka381114263238445056626874[Výsledný čas]="N",Tabulka381114263238445056626874[Výsledný čas]="D",Tabulka381114263238445056626874[Výsledný čas]="NEÚČAST"),Uvod!$E$4,_xlfn.RANK.EQ(Tabulka381114263238445056626874[[#This Row],[ ]],Tabulka381114263238445056626874[[ ]],1))</f>
        <v>#N/A</v>
      </c>
      <c r="AA4" s="78" t="s">
        <v>19</v>
      </c>
      <c r="AB4" s="79" t="e">
        <f>VLOOKUP(Tabulka381114263238445056626874[[#This Row],[Tým]],Tabulka171013253137434955616773[[Tým]:[ ]],2,FALSE)</f>
        <v>#N/A</v>
      </c>
      <c r="AC4" s="79" t="e">
        <f>VLOOKUP(Tabulka381114263238445056626874[[#This Row],[Tým]],Tabulka171013253137434955616773[[Tým]:[ ]],3,FALSE)</f>
        <v>#N/A</v>
      </c>
      <c r="AD4" s="80" t="e">
        <f>VLOOKUP(Tabulka381114263238445056626874[[#This Row],[Tým]],Tabulka171013253137434955616773[[Tým]:[ ]],4,FALSE)</f>
        <v>#N/A</v>
      </c>
      <c r="AE4" s="80" t="e">
        <f>VLOOKUP(Tabulka381114263238445056626874[[#This Row],[Tým]],Tabulka171013253137434955616773[[Tým]:[ ]],7,FALSE)</f>
        <v>#N/A</v>
      </c>
      <c r="AF4" s="81" t="e">
        <f>IF(Tabulka381114263238445056626874[[#This Row],[Výsledný čas]]="N",5,IF(Tabulka381114263238445056626874[[#This Row],[Výsledný čas]]="D",0,IF(Tabulka381114263238445056626874[[#This Row],[Výsledný čas]]="NEÚČAST",0,Tabulka4[[#Totals],[Týmy muži]]+6-Tabulka381114263238445056626874[[#This Row],[Umístění]])))</f>
        <v>#N/A</v>
      </c>
      <c r="AH4" s="77" t="e">
        <f>_xlfn.RANK.EQ(Tabulka591215273339455157636975[[#This Row],[Body]],Tabulka591215273339455157636975[Body],0)</f>
        <v>#N/A</v>
      </c>
      <c r="AI4" s="78" t="s">
        <v>19</v>
      </c>
      <c r="AJ4" s="81" t="e">
        <f>VLOOKUP(Tabulka591215273339455157636975[[#This Row],[Tým]],Tabulka381114263238445056626874[[Tým]:[Body]],6,FALSE)+Tabulka591215273339455157636975[[#This Row],[ ]]</f>
        <v>#N/A</v>
      </c>
      <c r="AK4" s="75" t="e">
        <f>VLOOKUP(Tabulka591215273339455157636975[[#This Row],[Tým]],Tabulka5912152733394551576369[[Tým]:[Body]],2,FALSE)</f>
        <v>#N/A</v>
      </c>
      <c r="AL4" s="113" t="e">
        <f>Tabulka591215273339455157636975[[#This Row],[Umístění]]</f>
        <v>#N/A</v>
      </c>
      <c r="AM4" s="15"/>
      <c r="AP4" s="1"/>
    </row>
    <row r="5" spans="1:42" ht="24.95" customHeight="1" x14ac:dyDescent="0.4">
      <c r="B5" s="6"/>
      <c r="C5" s="1" t="str">
        <f>IF(Tabulka171013253137434955616773[[#This Row],[ ]]="","",IF(Tabulka171013253137434955616773[[#This Row],[ ]]="NEÚČAST","",IF(OR(Tabulka171013253137434955616773[Výsledný čas]="N",Tabulka171013253137434955616773[Výsledný čas]="D"),$L$4-$L$5,_xlfn.RANK.EQ(Tabulka171013253137434955616773[[#This Row],[ ]],Tabulka171013253137434955616773[[ ]],1))))</f>
        <v/>
      </c>
      <c r="D5" s="7"/>
      <c r="E5" s="8"/>
      <c r="F5" s="8"/>
      <c r="G5" s="9" t="str">
        <f>IF(OR(Tabulka171013253137434955616773[[#This Row],[LP]]="N",Tabulka171013253137434955616773[[#This Row],[PP]]="N"),"N",IF(OR(Tabulka171013253137434955616773[[#This Row],[LP]]="D",Tabulka171013253137434955616773[[#This Row],[PP]]="D"),"D",IF(OR(Tabulka171013253137434955616773[[#This Row],[LP]]="NEÚČAST",Tabulka171013253137434955616773[[#This Row],[PP]]="NEÚČAST"),"NEÚČAST",IF(OR(Tabulka171013253137434955616773[[#This Row],[LP]]="",Tabulka171013253137434955616773[[#This Row],[PP]]=""),"",MAX(Tabulka171013253137434955616773[[#This Row],[LP]:[PP]])))))</f>
        <v/>
      </c>
      <c r="H5" s="1">
        <f>COUNTIF(Tabulka171013253137434955616773[[#This Row],[Tým]],"*")</f>
        <v>0</v>
      </c>
      <c r="I5" s="1">
        <f>COUNTIF(Tabulka171013253137434955616773[[#This Row],[Výsledný čas]],"NEÚČAST")</f>
        <v>0</v>
      </c>
      <c r="J5" s="1" t="str">
        <f>IF(Tabulka171013253137434955616773[[#This Row],[Výsledný čas]]="N",998,IF(Tabulka171013253137434955616773[[#This Row],[Výsledný čas]]="D",998,IF(Tabulka171013253137434955616773[[#This Row],[Výsledný čas]]="","",Tabulka171013253137434955616773[[#This Row],[Výsledný čas]])))</f>
        <v/>
      </c>
      <c r="L5" s="1">
        <f>SUM(Tabulka171013253137434955616773[Sloupec2])</f>
        <v>0</v>
      </c>
      <c r="N5" s="30"/>
      <c r="O5" s="25" t="str">
        <f>IF(Tabulka1710136303642485460667278[[#This Row],[ ]]="","",IF(Tabulka1710136303642485460667278[[#This Row],[ ]]="NEÚČAST","",IF(OR(Tabulka1710136303642485460667278[Výsledný čas]="N",Tabulka1710136303642485460667278[Výsledný čas]="D"),$X$4-$X$5,_xlfn.RANK.EQ(Tabulka1710136303642485460667278[[#This Row],[ ]],Tabulka1710136303642485460667278[[ ]],1))))</f>
        <v/>
      </c>
      <c r="P5" s="26"/>
      <c r="Q5" s="5"/>
      <c r="R5" s="5"/>
      <c r="S5" s="25" t="str">
        <f>IF(OR(Tabulka1710136303642485460667278[[#This Row],[LP]]="N",Tabulka1710136303642485460667278[[#This Row],[PP]]="N"),"N",IF(OR(Tabulka1710136303642485460667278[[#This Row],[LP]]="D",Tabulka1710136303642485460667278[[#This Row],[PP]]="D"),"D",IF(OR(Tabulka1710136303642485460667278[[#This Row],[LP]]="NEÚČAST",Tabulka1710136303642485460667278[[#This Row],[PP]]="NEÚČAST"),"NEÚČAST",IF(OR(Tabulka1710136303642485460667278[[#This Row],[LP]]="",Tabulka1710136303642485460667278[[#This Row],[PP]]=""),"",MAX(Tabulka1710136303642485460667278[[#This Row],[LP]:[PP]])))))</f>
        <v/>
      </c>
      <c r="T5" s="46">
        <f>COUNTIF(Tabulka1710136303642485460667278[[#This Row],[Tým]],"*")</f>
        <v>0</v>
      </c>
      <c r="U5" s="46">
        <f>COUNTIF(Tabulka1710136303642485460667278[[#This Row],[Výsledný čas]],"NEÚČAST")</f>
        <v>0</v>
      </c>
      <c r="V5" s="29" t="str">
        <f>IF(Tabulka1710136303642485460667278[[#This Row],[Výsledný čas]]="N",998,IF(Tabulka1710136303642485460667278[[#This Row],[Výsledný čas]]="D",998,IF(Tabulka1710136303642485460667278[[#This Row],[Výsledný čas]]="","",Tabulka1710136303642485460667278[[#This Row],[Výsledný čas]])))</f>
        <v/>
      </c>
      <c r="X5" s="1">
        <f>SUM(Tabulka1710136303642485460667278[Sloupec2])</f>
        <v>0</v>
      </c>
      <c r="Y5" s="15"/>
      <c r="Z5" s="31" t="e">
        <f>IF(OR(Tabulka381114263238445056626874[Výsledný čas]="N",Tabulka381114263238445056626874[Výsledný čas]="D",Tabulka381114263238445056626874[Výsledný čas]="NEÚČAST"),Uvod!$E$4,_xlfn.RANK.EQ(Tabulka381114263238445056626874[[#This Row],[ ]],Tabulka381114263238445056626874[[ ]],1))</f>
        <v>#N/A</v>
      </c>
      <c r="AA5" s="51" t="s">
        <v>30</v>
      </c>
      <c r="AB5" s="44" t="e">
        <f>VLOOKUP(Tabulka381114263238445056626874[[#This Row],[Tým]],Tabulka171013253137434955616773[[Tým]:[ ]],2,FALSE)</f>
        <v>#N/A</v>
      </c>
      <c r="AC5" s="44" t="e">
        <f>VLOOKUP(Tabulka381114263238445056626874[[#This Row],[Tým]],Tabulka171013253137434955616773[[Tým]:[ ]],3,FALSE)</f>
        <v>#N/A</v>
      </c>
      <c r="AD5" s="25" t="e">
        <f>VLOOKUP(Tabulka381114263238445056626874[[#This Row],[Tým]],Tabulka171013253137434955616773[[Tým]:[ ]],4,FALSE)</f>
        <v>#N/A</v>
      </c>
      <c r="AE5" s="25" t="e">
        <f>VLOOKUP(Tabulka381114263238445056626874[[#This Row],[Tým]],Tabulka171013253137434955616773[[Tým]:[ ]],7,FALSE)</f>
        <v>#N/A</v>
      </c>
      <c r="AF5" s="29" t="e">
        <f>IF(Tabulka381114263238445056626874[[#This Row],[Výsledný čas]]="N",5,IF(Tabulka381114263238445056626874[[#This Row],[Výsledný čas]]="D",0,IF(Tabulka381114263238445056626874[[#This Row],[Výsledný čas]]="NEÚČAST",0,Tabulka4[[#Totals],[Týmy muži]]+6-Tabulka381114263238445056626874[[#This Row],[Umístění]])))</f>
        <v>#N/A</v>
      </c>
      <c r="AH5" s="31" t="e">
        <f>_xlfn.RANK.EQ(Tabulka591215273339455157636975[[#This Row],[Body]],Tabulka591215273339455157636975[Body],0)</f>
        <v>#N/A</v>
      </c>
      <c r="AI5" s="51" t="s">
        <v>30</v>
      </c>
      <c r="AJ5" s="29" t="e">
        <f>VLOOKUP(Tabulka591215273339455157636975[[#This Row],[Tým]],Tabulka381114263238445056626874[[Tým]:[Body]],6,FALSE)+Tabulka591215273339455157636975[[#This Row],[ ]]</f>
        <v>#N/A</v>
      </c>
      <c r="AK5" s="75" t="e">
        <f>VLOOKUP(Tabulka591215273339455157636975[[#This Row],[Tým]],Tabulka5912152733394551576369[[Tým]:[Body]],2,FALSE)</f>
        <v>#N/A</v>
      </c>
      <c r="AL5" s="82" t="e">
        <f>Tabulka591215273339455157636975[[#This Row],[Umístění]]</f>
        <v>#N/A</v>
      </c>
      <c r="AM5" s="15"/>
      <c r="AP5" s="1"/>
    </row>
    <row r="6" spans="1:42" ht="24.95" customHeight="1" x14ac:dyDescent="0.4">
      <c r="B6" s="6"/>
      <c r="C6" s="1" t="str">
        <f>IF(Tabulka171013253137434955616773[[#This Row],[ ]]="","",IF(Tabulka171013253137434955616773[[#This Row],[ ]]="NEÚČAST","",IF(OR(Tabulka171013253137434955616773[Výsledný čas]="N",Tabulka171013253137434955616773[Výsledný čas]="D"),$L$4-$L$5,_xlfn.RANK.EQ(Tabulka171013253137434955616773[[#This Row],[ ]],Tabulka171013253137434955616773[[ ]],1))))</f>
        <v/>
      </c>
      <c r="D6" s="7"/>
      <c r="E6" s="8"/>
      <c r="F6" s="8"/>
      <c r="G6" s="9" t="str">
        <f>IF(OR(Tabulka171013253137434955616773[[#This Row],[LP]]="N",Tabulka171013253137434955616773[[#This Row],[PP]]="N"),"N",IF(OR(Tabulka171013253137434955616773[[#This Row],[LP]]="D",Tabulka171013253137434955616773[[#This Row],[PP]]="D"),"D",IF(OR(Tabulka171013253137434955616773[[#This Row],[LP]]="NEÚČAST",Tabulka171013253137434955616773[[#This Row],[PP]]="NEÚČAST"),"NEÚČAST",IF(OR(Tabulka171013253137434955616773[[#This Row],[LP]]="",Tabulka171013253137434955616773[[#This Row],[PP]]=""),"",MAX(Tabulka171013253137434955616773[[#This Row],[LP]:[PP]])))))</f>
        <v/>
      </c>
      <c r="H6" s="1">
        <f>COUNTIF(Tabulka171013253137434955616773[[#This Row],[Tým]],"*")</f>
        <v>0</v>
      </c>
      <c r="I6" s="1">
        <f>COUNTIF(Tabulka171013253137434955616773[[#This Row],[Výsledný čas]],"NEÚČAST")</f>
        <v>0</v>
      </c>
      <c r="J6" s="1" t="str">
        <f>IF(Tabulka171013253137434955616773[[#This Row],[Výsledný čas]]="N",998,IF(Tabulka171013253137434955616773[[#This Row],[Výsledný čas]]="D",998,IF(Tabulka171013253137434955616773[[#This Row],[Výsledný čas]]="","",Tabulka171013253137434955616773[[#This Row],[Výsledný čas]])))</f>
        <v/>
      </c>
      <c r="N6" s="30"/>
      <c r="O6" s="25" t="str">
        <f>IF(Tabulka1710136303642485460667278[[#This Row],[ ]]="","",IF(Tabulka1710136303642485460667278[[#This Row],[ ]]="NEÚČAST","",IF(OR(Tabulka1710136303642485460667278[Výsledný čas]="N",Tabulka1710136303642485460667278[Výsledný čas]="D"),$X$4-$X$5,_xlfn.RANK.EQ(Tabulka1710136303642485460667278[[#This Row],[ ]],Tabulka1710136303642485460667278[[ ]],1))))</f>
        <v/>
      </c>
      <c r="P6" s="26"/>
      <c r="Q6" s="5"/>
      <c r="R6" s="5"/>
      <c r="S6" s="25" t="str">
        <f>IF(OR(Tabulka1710136303642485460667278[[#This Row],[LP]]="N",Tabulka1710136303642485460667278[[#This Row],[PP]]="N"),"N",IF(OR(Tabulka1710136303642485460667278[[#This Row],[LP]]="D",Tabulka1710136303642485460667278[[#This Row],[PP]]="D"),"D",IF(OR(Tabulka1710136303642485460667278[[#This Row],[LP]]="NEÚČAST",Tabulka1710136303642485460667278[[#This Row],[PP]]="NEÚČAST"),"NEÚČAST",IF(OR(Tabulka1710136303642485460667278[[#This Row],[LP]]="",Tabulka1710136303642485460667278[[#This Row],[PP]]=""),"",MAX(Tabulka1710136303642485460667278[[#This Row],[LP]:[PP]])))))</f>
        <v/>
      </c>
      <c r="T6" s="46">
        <f>COUNTIF(Tabulka1710136303642485460667278[[#This Row],[Tým]],"*")</f>
        <v>0</v>
      </c>
      <c r="U6" s="46">
        <f>COUNTIF(Tabulka1710136303642485460667278[[#This Row],[Výsledný čas]],"NEÚČAST")</f>
        <v>0</v>
      </c>
      <c r="V6" s="29" t="str">
        <f>IF(Tabulka1710136303642485460667278[[#This Row],[Výsledný čas]]="N",998,IF(Tabulka1710136303642485460667278[[#This Row],[Výsledný čas]]="D",998,IF(Tabulka1710136303642485460667278[[#This Row],[Výsledný čas]]="","",Tabulka1710136303642485460667278[[#This Row],[Výsledný čas]])))</f>
        <v/>
      </c>
      <c r="Y6" s="15"/>
      <c r="Z6" s="31" t="e">
        <f>IF(OR(Tabulka381114263238445056626874[Výsledný čas]="N",Tabulka381114263238445056626874[Výsledný čas]="D",Tabulka381114263238445056626874[Výsledný čas]="NEÚČAST"),Uvod!$E$4,_xlfn.RANK.EQ(Tabulka381114263238445056626874[[#This Row],[ ]],Tabulka381114263238445056626874[[ ]],1))</f>
        <v>#N/A</v>
      </c>
      <c r="AA6" s="51" t="s">
        <v>22</v>
      </c>
      <c r="AB6" s="44" t="e">
        <f>VLOOKUP(Tabulka381114263238445056626874[[#This Row],[Tým]],Tabulka171013253137434955616773[[Tým]:[ ]],2,FALSE)</f>
        <v>#N/A</v>
      </c>
      <c r="AC6" s="44" t="e">
        <f>VLOOKUP(Tabulka381114263238445056626874[[#This Row],[Tým]],Tabulka171013253137434955616773[[Tým]:[ ]],3,FALSE)</f>
        <v>#N/A</v>
      </c>
      <c r="AD6" s="25" t="e">
        <f>VLOOKUP(Tabulka381114263238445056626874[[#This Row],[Tým]],Tabulka171013253137434955616773[[Tým]:[ ]],4,FALSE)</f>
        <v>#N/A</v>
      </c>
      <c r="AE6" s="25" t="e">
        <f>VLOOKUP(Tabulka381114263238445056626874[[#This Row],[Tým]],Tabulka171013253137434955616773[[Tým]:[ ]],7,FALSE)</f>
        <v>#N/A</v>
      </c>
      <c r="AF6" s="29" t="e">
        <f>IF(Tabulka381114263238445056626874[[#This Row],[Výsledný čas]]="N",5,IF(Tabulka381114263238445056626874[[#This Row],[Výsledný čas]]="D",0,IF(Tabulka381114263238445056626874[[#This Row],[Výsledný čas]]="NEÚČAST",0,Tabulka4[[#Totals],[Týmy muži]]+6-Tabulka381114263238445056626874[[#This Row],[Umístění]])))</f>
        <v>#N/A</v>
      </c>
      <c r="AH6" s="31" t="e">
        <f>_xlfn.RANK.EQ(Tabulka591215273339455157636975[[#This Row],[Body]],Tabulka591215273339455157636975[Body],0)</f>
        <v>#N/A</v>
      </c>
      <c r="AI6" s="51" t="s">
        <v>22</v>
      </c>
      <c r="AJ6" s="29" t="e">
        <f>VLOOKUP(Tabulka591215273339455157636975[[#This Row],[Tým]],Tabulka381114263238445056626874[[Tým]:[Body]],6,FALSE)+Tabulka591215273339455157636975[[#This Row],[ ]]</f>
        <v>#N/A</v>
      </c>
      <c r="AK6" s="75" t="e">
        <f>VLOOKUP(Tabulka591215273339455157636975[[#This Row],[Tým]],Tabulka5912152733394551576369[[Tým]:[Body]],2,FALSE)</f>
        <v>#N/A</v>
      </c>
      <c r="AL6" s="82" t="e">
        <f>Tabulka591215273339455157636975[[#This Row],[Umístění]]</f>
        <v>#N/A</v>
      </c>
      <c r="AM6" s="15"/>
      <c r="AP6" s="1"/>
    </row>
    <row r="7" spans="1:42" ht="24.95" customHeight="1" x14ac:dyDescent="0.4">
      <c r="B7" s="6"/>
      <c r="C7" s="1" t="str">
        <f>IF(Tabulka171013253137434955616773[[#This Row],[ ]]="","",IF(Tabulka171013253137434955616773[[#This Row],[ ]]="NEÚČAST","",IF(OR(Tabulka171013253137434955616773[Výsledný čas]="N",Tabulka171013253137434955616773[Výsledný čas]="D"),$L$4-$L$5,_xlfn.RANK.EQ(Tabulka171013253137434955616773[[#This Row],[ ]],Tabulka171013253137434955616773[[ ]],1))))</f>
        <v/>
      </c>
      <c r="D7" s="10"/>
      <c r="E7" s="8"/>
      <c r="F7" s="8"/>
      <c r="G7" s="9" t="str">
        <f>IF(OR(Tabulka171013253137434955616773[[#This Row],[LP]]="N",Tabulka171013253137434955616773[[#This Row],[PP]]="N"),"N",IF(OR(Tabulka171013253137434955616773[[#This Row],[LP]]="D",Tabulka171013253137434955616773[[#This Row],[PP]]="D"),"D",IF(OR(Tabulka171013253137434955616773[[#This Row],[LP]]="NEÚČAST",Tabulka171013253137434955616773[[#This Row],[PP]]="NEÚČAST"),"NEÚČAST",IF(OR(Tabulka171013253137434955616773[[#This Row],[LP]]="",Tabulka171013253137434955616773[[#This Row],[PP]]=""),"",MAX(Tabulka171013253137434955616773[[#This Row],[LP]:[PP]])))))</f>
        <v/>
      </c>
      <c r="H7" s="1">
        <f>COUNTIF(Tabulka171013253137434955616773[[#This Row],[Tým]],"*")</f>
        <v>0</v>
      </c>
      <c r="I7" s="1">
        <f>COUNTIF(Tabulka171013253137434955616773[[#This Row],[Výsledný čas]],"NEÚČAST")</f>
        <v>0</v>
      </c>
      <c r="J7" s="1" t="str">
        <f>IF(Tabulka171013253137434955616773[[#This Row],[Výsledný čas]]="N",998,IF(Tabulka171013253137434955616773[[#This Row],[Výsledný čas]]="D",998,IF(Tabulka171013253137434955616773[[#This Row],[Výsledný čas]]="","",Tabulka171013253137434955616773[[#This Row],[Výsledný čas]])))</f>
        <v/>
      </c>
      <c r="N7" s="31"/>
      <c r="O7" s="25" t="str">
        <f>IF(Tabulka1710136303642485460667278[[#This Row],[ ]]="","",IF(Tabulka1710136303642485460667278[[#This Row],[ ]]="NEÚČAST","",IF(OR(Tabulka1710136303642485460667278[Výsledný čas]="N",Tabulka1710136303642485460667278[Výsledný čas]="D"),$X$4-$X$5,_xlfn.RANK.EQ(Tabulka1710136303642485460667278[[#This Row],[ ]],Tabulka1710136303642485460667278[[ ]],1))))</f>
        <v/>
      </c>
      <c r="P7" s="26"/>
      <c r="Q7" s="5"/>
      <c r="R7" s="5"/>
      <c r="S7" s="25" t="str">
        <f>IF(OR(Tabulka1710136303642485460667278[[#This Row],[LP]]="N",Tabulka1710136303642485460667278[[#This Row],[PP]]="N"),"N",IF(OR(Tabulka1710136303642485460667278[[#This Row],[LP]]="D",Tabulka1710136303642485460667278[[#This Row],[PP]]="D"),"D",IF(OR(Tabulka1710136303642485460667278[[#This Row],[LP]]="NEÚČAST",Tabulka1710136303642485460667278[[#This Row],[PP]]="NEÚČAST"),"NEÚČAST",IF(OR(Tabulka1710136303642485460667278[[#This Row],[LP]]="",Tabulka1710136303642485460667278[[#This Row],[PP]]=""),"",MAX(Tabulka1710136303642485460667278[[#This Row],[LP]:[PP]])))))</f>
        <v/>
      </c>
      <c r="T7" s="46">
        <f>COUNTIF(Tabulka1710136303642485460667278[[#This Row],[Tým]],"*")</f>
        <v>0</v>
      </c>
      <c r="U7" s="46">
        <f>COUNTIF(Tabulka1710136303642485460667278[[#This Row],[Výsledný čas]],"NEÚČAST")</f>
        <v>0</v>
      </c>
      <c r="V7" s="29" t="str">
        <f>IF(Tabulka1710136303642485460667278[[#This Row],[Výsledný čas]]="N",998,IF(Tabulka1710136303642485460667278[[#This Row],[Výsledný čas]]="D",998,IF(Tabulka1710136303642485460667278[[#This Row],[Výsledný čas]]="","",Tabulka1710136303642485460667278[[#This Row],[Výsledný čas]])))</f>
        <v/>
      </c>
      <c r="Y7" s="15"/>
      <c r="Z7" s="31" t="e">
        <f>IF(OR(Tabulka381114263238445056626874[Výsledný čas]="N",Tabulka381114263238445056626874[Výsledný čas]="D",Tabulka381114263238445056626874[Výsledný čas]="NEÚČAST"),Uvod!$E$4,_xlfn.RANK.EQ(Tabulka381114263238445056626874[[#This Row],[ ]],Tabulka381114263238445056626874[[ ]],1))</f>
        <v>#N/A</v>
      </c>
      <c r="AA7" s="51" t="s">
        <v>20</v>
      </c>
      <c r="AB7" s="44" t="e">
        <f>VLOOKUP(Tabulka381114263238445056626874[[#This Row],[Tým]],Tabulka171013253137434955616773[[Tým]:[ ]],2,FALSE)</f>
        <v>#N/A</v>
      </c>
      <c r="AC7" s="44" t="e">
        <f>VLOOKUP(Tabulka381114263238445056626874[[#This Row],[Tým]],Tabulka171013253137434955616773[[Tým]:[ ]],3,FALSE)</f>
        <v>#N/A</v>
      </c>
      <c r="AD7" s="25" t="e">
        <f>VLOOKUP(Tabulka381114263238445056626874[[#This Row],[Tým]],Tabulka171013253137434955616773[[Tým]:[ ]],4,FALSE)</f>
        <v>#N/A</v>
      </c>
      <c r="AE7" s="25" t="e">
        <f>VLOOKUP(Tabulka381114263238445056626874[[#This Row],[Tým]],Tabulka171013253137434955616773[[Tým]:[ ]],7,FALSE)</f>
        <v>#N/A</v>
      </c>
      <c r="AF7" s="29" t="e">
        <f>IF(Tabulka381114263238445056626874[[#This Row],[Výsledný čas]]="N",5,IF(Tabulka381114263238445056626874[[#This Row],[Výsledný čas]]="D",0,IF(Tabulka381114263238445056626874[[#This Row],[Výsledný čas]]="NEÚČAST",0,Tabulka4[[#Totals],[Týmy muži]]+6-Tabulka381114263238445056626874[[#This Row],[Umístění]])))</f>
        <v>#N/A</v>
      </c>
      <c r="AH7" s="31" t="e">
        <f>_xlfn.RANK.EQ(Tabulka591215273339455157636975[[#This Row],[Body]],Tabulka591215273339455157636975[Body],0)</f>
        <v>#N/A</v>
      </c>
      <c r="AI7" s="51" t="s">
        <v>20</v>
      </c>
      <c r="AJ7" s="29" t="e">
        <f>VLOOKUP(Tabulka591215273339455157636975[[#This Row],[Tým]],Tabulka381114263238445056626874[[Tým]:[Body]],6,FALSE)+Tabulka591215273339455157636975[[#This Row],[ ]]</f>
        <v>#N/A</v>
      </c>
      <c r="AK7" s="75" t="e">
        <f>VLOOKUP(Tabulka591215273339455157636975[[#This Row],[Tým]],Tabulka5912152733394551576369[[Tým]:[Body]],2,FALSE)</f>
        <v>#N/A</v>
      </c>
      <c r="AL7" s="82" t="e">
        <f>Tabulka591215273339455157636975[[#This Row],[Umístění]]</f>
        <v>#N/A</v>
      </c>
      <c r="AM7" s="15"/>
      <c r="AP7" s="1"/>
    </row>
    <row r="8" spans="1:42" ht="24.95" customHeight="1" x14ac:dyDescent="0.4">
      <c r="B8" s="6"/>
      <c r="C8" s="1" t="str">
        <f>IF(Tabulka171013253137434955616773[[#This Row],[ ]]="","",IF(Tabulka171013253137434955616773[[#This Row],[ ]]="NEÚČAST","",IF(OR(Tabulka171013253137434955616773[Výsledný čas]="N",Tabulka171013253137434955616773[Výsledný čas]="D"),$L$4-$L$5,_xlfn.RANK.EQ(Tabulka171013253137434955616773[[#This Row],[ ]],Tabulka171013253137434955616773[[ ]],1))))</f>
        <v/>
      </c>
      <c r="D8" s="7"/>
      <c r="E8" s="8"/>
      <c r="F8" s="8"/>
      <c r="G8" s="9" t="str">
        <f>IF(OR(Tabulka171013253137434955616773[[#This Row],[LP]]="N",Tabulka171013253137434955616773[[#This Row],[PP]]="N"),"N",IF(OR(Tabulka171013253137434955616773[[#This Row],[LP]]="D",Tabulka171013253137434955616773[[#This Row],[PP]]="D"),"D",IF(OR(Tabulka171013253137434955616773[[#This Row],[LP]]="NEÚČAST",Tabulka171013253137434955616773[[#This Row],[PP]]="NEÚČAST"),"NEÚČAST",IF(OR(Tabulka171013253137434955616773[[#This Row],[LP]]="",Tabulka171013253137434955616773[[#This Row],[PP]]=""),"",MAX(Tabulka171013253137434955616773[[#This Row],[LP]:[PP]])))))</f>
        <v/>
      </c>
      <c r="H8" s="1">
        <f>COUNTIF(Tabulka171013253137434955616773[[#This Row],[Tým]],"*")</f>
        <v>0</v>
      </c>
      <c r="I8" s="1">
        <f>COUNTIF(Tabulka171013253137434955616773[[#This Row],[Výsledný čas]],"NEÚČAST")</f>
        <v>0</v>
      </c>
      <c r="J8" s="1" t="str">
        <f>IF(Tabulka171013253137434955616773[[#This Row],[Výsledný čas]]="N",998,IF(Tabulka171013253137434955616773[[#This Row],[Výsledný čas]]="D",998,IF(Tabulka171013253137434955616773[[#This Row],[Výsledný čas]]="","",Tabulka171013253137434955616773[[#This Row],[Výsledný čas]])))</f>
        <v/>
      </c>
      <c r="N8" s="31"/>
      <c r="O8" s="25" t="str">
        <f>IF(Tabulka1710136303642485460667278[[#This Row],[ ]]="","",IF(Tabulka1710136303642485460667278[[#This Row],[ ]]="NEÚČAST","",IF(OR(Tabulka1710136303642485460667278[Výsledný čas]="N",Tabulka1710136303642485460667278[Výsledný čas]="D"),$X$4-$X$5,_xlfn.RANK.EQ(Tabulka1710136303642485460667278[[#This Row],[ ]],Tabulka1710136303642485460667278[[ ]],1))))</f>
        <v/>
      </c>
      <c r="P8" s="26"/>
      <c r="Q8" s="5"/>
      <c r="R8" s="5"/>
      <c r="S8" s="25" t="str">
        <f>IF(OR(Tabulka1710136303642485460667278[[#This Row],[LP]]="N",Tabulka1710136303642485460667278[[#This Row],[PP]]="N"),"N",IF(OR(Tabulka1710136303642485460667278[[#This Row],[LP]]="D",Tabulka1710136303642485460667278[[#This Row],[PP]]="D"),"D",IF(OR(Tabulka1710136303642485460667278[[#This Row],[LP]]="NEÚČAST",Tabulka1710136303642485460667278[[#This Row],[PP]]="NEÚČAST"),"NEÚČAST",IF(OR(Tabulka1710136303642485460667278[[#This Row],[LP]]="",Tabulka1710136303642485460667278[[#This Row],[PP]]=""),"",MAX(Tabulka1710136303642485460667278[[#This Row],[LP]:[PP]])))))</f>
        <v/>
      </c>
      <c r="T8" s="46">
        <f>COUNTIF(Tabulka1710136303642485460667278[[#This Row],[Tým]],"*")</f>
        <v>0</v>
      </c>
      <c r="U8" s="46">
        <f>COUNTIF(Tabulka1710136303642485460667278[[#This Row],[Výsledný čas]],"NEÚČAST")</f>
        <v>0</v>
      </c>
      <c r="V8" s="29" t="str">
        <f>IF(Tabulka1710136303642485460667278[[#This Row],[Výsledný čas]]="N",998,IF(Tabulka1710136303642485460667278[[#This Row],[Výsledný čas]]="D",998,IF(Tabulka1710136303642485460667278[[#This Row],[Výsledný čas]]="","",Tabulka1710136303642485460667278[[#This Row],[Výsledný čas]])))</f>
        <v/>
      </c>
      <c r="Y8" s="15"/>
      <c r="Z8" s="31" t="e">
        <f>IF(OR(Tabulka381114263238445056626874[Výsledný čas]="N",Tabulka381114263238445056626874[Výsledný čas]="D",Tabulka381114263238445056626874[Výsledný čas]="NEÚČAST"),Uvod!$E$4,_xlfn.RANK.EQ(Tabulka381114263238445056626874[[#This Row],[ ]],Tabulka381114263238445056626874[[ ]],1))</f>
        <v>#N/A</v>
      </c>
      <c r="AA8" s="51" t="s">
        <v>11</v>
      </c>
      <c r="AB8" s="44" t="e">
        <f>VLOOKUP(Tabulka381114263238445056626874[[#This Row],[Tým]],Tabulka171013253137434955616773[[Tým]:[ ]],2,FALSE)</f>
        <v>#N/A</v>
      </c>
      <c r="AC8" s="44" t="e">
        <f>VLOOKUP(Tabulka381114263238445056626874[[#This Row],[Tým]],Tabulka171013253137434955616773[[Tým]:[ ]],3,FALSE)</f>
        <v>#N/A</v>
      </c>
      <c r="AD8" s="25" t="e">
        <f>VLOOKUP(Tabulka381114263238445056626874[[#This Row],[Tým]],Tabulka171013253137434955616773[[Tým]:[ ]],4,FALSE)</f>
        <v>#N/A</v>
      </c>
      <c r="AE8" s="25" t="e">
        <f>VLOOKUP(Tabulka381114263238445056626874[[#This Row],[Tým]],Tabulka171013253137434955616773[[Tým]:[ ]],7,FALSE)</f>
        <v>#N/A</v>
      </c>
      <c r="AF8" s="29" t="e">
        <f>IF(Tabulka381114263238445056626874[[#This Row],[Výsledný čas]]="N",5,IF(Tabulka381114263238445056626874[[#This Row],[Výsledný čas]]="D",0,IF(Tabulka381114263238445056626874[[#This Row],[Výsledný čas]]="NEÚČAST",0,Tabulka4[[#Totals],[Týmy muži]]+6-Tabulka381114263238445056626874[[#This Row],[Umístění]])))</f>
        <v>#N/A</v>
      </c>
      <c r="AH8" s="31" t="e">
        <f>_xlfn.RANK.EQ(Tabulka591215273339455157636975[[#This Row],[Body]],Tabulka591215273339455157636975[Body],0)</f>
        <v>#N/A</v>
      </c>
      <c r="AI8" s="51" t="s">
        <v>11</v>
      </c>
      <c r="AJ8" s="29" t="e">
        <f>VLOOKUP(Tabulka591215273339455157636975[[#This Row],[Tým]],Tabulka381114263238445056626874[[Tým]:[Body]],6,FALSE)+Tabulka591215273339455157636975[[#This Row],[ ]]</f>
        <v>#N/A</v>
      </c>
      <c r="AK8" s="75" t="e">
        <f>VLOOKUP(Tabulka591215273339455157636975[[#This Row],[Tým]],Tabulka5912152733394551576369[[Tým]:[Body]],2,FALSE)</f>
        <v>#N/A</v>
      </c>
      <c r="AL8" s="82" t="e">
        <f>Tabulka591215273339455157636975[[#This Row],[Umístění]]</f>
        <v>#N/A</v>
      </c>
      <c r="AM8" s="15"/>
      <c r="AP8" s="1"/>
    </row>
    <row r="9" spans="1:42" ht="24.95" customHeight="1" x14ac:dyDescent="0.4">
      <c r="B9" s="11"/>
      <c r="C9" s="1" t="str">
        <f>IF(Tabulka171013253137434955616773[[#This Row],[ ]]="","",IF(Tabulka171013253137434955616773[[#This Row],[ ]]="NEÚČAST","",IF(OR(Tabulka171013253137434955616773[Výsledný čas]="N",Tabulka171013253137434955616773[Výsledný čas]="D"),$L$4-$L$5,_xlfn.RANK.EQ(Tabulka171013253137434955616773[[#This Row],[ ]],Tabulka171013253137434955616773[[ ]],1))))</f>
        <v/>
      </c>
      <c r="D9" s="7"/>
      <c r="E9" s="8"/>
      <c r="F9" s="8"/>
      <c r="G9" s="9" t="str">
        <f>IF(OR(Tabulka171013253137434955616773[[#This Row],[LP]]="N",Tabulka171013253137434955616773[[#This Row],[PP]]="N"),"N",IF(OR(Tabulka171013253137434955616773[[#This Row],[LP]]="D",Tabulka171013253137434955616773[[#This Row],[PP]]="D"),"D",IF(OR(Tabulka171013253137434955616773[[#This Row],[LP]]="NEÚČAST",Tabulka171013253137434955616773[[#This Row],[PP]]="NEÚČAST"),"NEÚČAST",IF(OR(Tabulka171013253137434955616773[[#This Row],[LP]]="",Tabulka171013253137434955616773[[#This Row],[PP]]=""),"",MAX(Tabulka171013253137434955616773[[#This Row],[LP]:[PP]])))))</f>
        <v/>
      </c>
      <c r="H9" s="1">
        <f>COUNTIF(Tabulka171013253137434955616773[[#This Row],[Tým]],"*")</f>
        <v>0</v>
      </c>
      <c r="I9" s="1">
        <f>COUNTIF(Tabulka171013253137434955616773[[#This Row],[Výsledný čas]],"NEÚČAST")</f>
        <v>0</v>
      </c>
      <c r="J9" s="1" t="str">
        <f>IF(Tabulka171013253137434955616773[[#This Row],[Výsledný čas]]="N",998,IF(Tabulka171013253137434955616773[[#This Row],[Výsledný čas]]="D",998,IF(Tabulka171013253137434955616773[[#This Row],[Výsledný čas]]="","",Tabulka171013253137434955616773[[#This Row],[Výsledný čas]])))</f>
        <v/>
      </c>
      <c r="N9" s="30"/>
      <c r="O9" s="25" t="str">
        <f>IF(Tabulka1710136303642485460667278[[#This Row],[ ]]="","",IF(Tabulka1710136303642485460667278[[#This Row],[ ]]="NEÚČAST","",IF(OR(Tabulka1710136303642485460667278[Výsledný čas]="N",Tabulka1710136303642485460667278[Výsledný čas]="D"),$X$4-$X$5,_xlfn.RANK.EQ(Tabulka1710136303642485460667278[[#This Row],[ ]],Tabulka1710136303642485460667278[[ ]],1))))</f>
        <v/>
      </c>
      <c r="P9" s="26"/>
      <c r="Q9" s="5"/>
      <c r="R9" s="5"/>
      <c r="S9" s="25" t="str">
        <f>IF(OR(Tabulka1710136303642485460667278[[#This Row],[LP]]="N",Tabulka1710136303642485460667278[[#This Row],[PP]]="N"),"N",IF(OR(Tabulka1710136303642485460667278[[#This Row],[LP]]="D",Tabulka1710136303642485460667278[[#This Row],[PP]]="D"),"D",IF(OR(Tabulka1710136303642485460667278[[#This Row],[LP]]="NEÚČAST",Tabulka1710136303642485460667278[[#This Row],[PP]]="NEÚČAST"),"NEÚČAST",IF(OR(Tabulka1710136303642485460667278[[#This Row],[LP]]="",Tabulka1710136303642485460667278[[#This Row],[PP]]=""),"",MAX(Tabulka1710136303642485460667278[[#This Row],[LP]:[PP]])))))</f>
        <v/>
      </c>
      <c r="T9" s="46">
        <f>COUNTIF(Tabulka1710136303642485460667278[[#This Row],[Tým]],"*")</f>
        <v>0</v>
      </c>
      <c r="U9" s="46">
        <f>COUNTIF(Tabulka1710136303642485460667278[[#This Row],[Výsledný čas]],"NEÚČAST")</f>
        <v>0</v>
      </c>
      <c r="V9" s="29" t="str">
        <f>IF(Tabulka1710136303642485460667278[[#This Row],[Výsledný čas]]="N",998,IF(Tabulka1710136303642485460667278[[#This Row],[Výsledný čas]]="D",998,IF(Tabulka1710136303642485460667278[[#This Row],[Výsledný čas]]="","",Tabulka1710136303642485460667278[[#This Row],[Výsledný čas]])))</f>
        <v/>
      </c>
      <c r="Y9" s="15"/>
      <c r="Z9" s="31" t="e">
        <f>IF(OR(Tabulka381114263238445056626874[Výsledný čas]="N",Tabulka381114263238445056626874[Výsledný čas]="D",Tabulka381114263238445056626874[Výsledný čas]="NEÚČAST"),Uvod!$E$4,_xlfn.RANK.EQ(Tabulka381114263238445056626874[[#This Row],[ ]],Tabulka381114263238445056626874[[ ]],1))</f>
        <v>#N/A</v>
      </c>
      <c r="AA9" s="51" t="s">
        <v>15</v>
      </c>
      <c r="AB9" s="44" t="e">
        <f>VLOOKUP(Tabulka381114263238445056626874[[#This Row],[Tým]],Tabulka171013253137434955616773[[Tým]:[ ]],2,FALSE)</f>
        <v>#N/A</v>
      </c>
      <c r="AC9" s="44" t="e">
        <f>VLOOKUP(Tabulka381114263238445056626874[[#This Row],[Tým]],Tabulka171013253137434955616773[[Tým]:[ ]],3,FALSE)</f>
        <v>#N/A</v>
      </c>
      <c r="AD9" s="25" t="e">
        <f>VLOOKUP(Tabulka381114263238445056626874[[#This Row],[Tým]],Tabulka171013253137434955616773[[Tým]:[ ]],4,FALSE)</f>
        <v>#N/A</v>
      </c>
      <c r="AE9" s="25" t="e">
        <f>VLOOKUP(Tabulka381114263238445056626874[[#This Row],[Tým]],Tabulka171013253137434955616773[[Tým]:[ ]],7,FALSE)</f>
        <v>#N/A</v>
      </c>
      <c r="AF9" s="29" t="e">
        <f>IF(Tabulka381114263238445056626874[[#This Row],[Výsledný čas]]="N",5,IF(Tabulka381114263238445056626874[[#This Row],[Výsledný čas]]="D",0,IF(Tabulka381114263238445056626874[[#This Row],[Výsledný čas]]="NEÚČAST",0,Tabulka4[[#Totals],[Týmy muži]]+6-Tabulka381114263238445056626874[[#This Row],[Umístění]])))</f>
        <v>#N/A</v>
      </c>
      <c r="AH9" s="31" t="e">
        <f>_xlfn.RANK.EQ(Tabulka591215273339455157636975[[#This Row],[Body]],Tabulka591215273339455157636975[Body],0)</f>
        <v>#N/A</v>
      </c>
      <c r="AI9" s="51" t="s">
        <v>15</v>
      </c>
      <c r="AJ9" s="29" t="e">
        <f>VLOOKUP(Tabulka591215273339455157636975[[#This Row],[Tým]],Tabulka381114263238445056626874[[Tým]:[Body]],6,FALSE)+Tabulka591215273339455157636975[[#This Row],[ ]]</f>
        <v>#N/A</v>
      </c>
      <c r="AK9" s="75" t="e">
        <f>VLOOKUP(Tabulka591215273339455157636975[[#This Row],[Tým]],Tabulka5912152733394551576369[[Tým]:[Body]],2,FALSE)</f>
        <v>#N/A</v>
      </c>
      <c r="AL9" s="82" t="e">
        <f>Tabulka591215273339455157636975[[#This Row],[Umístění]]</f>
        <v>#N/A</v>
      </c>
      <c r="AM9" s="15"/>
      <c r="AP9" s="1"/>
    </row>
    <row r="10" spans="1:42" ht="24.95" customHeight="1" x14ac:dyDescent="0.4">
      <c r="B10" s="6"/>
      <c r="C10" s="1" t="str">
        <f>IF(Tabulka171013253137434955616773[[#This Row],[ ]]="","",IF(Tabulka171013253137434955616773[[#This Row],[ ]]="NEÚČAST","",IF(OR(Tabulka171013253137434955616773[Výsledný čas]="N",Tabulka171013253137434955616773[Výsledný čas]="D"),$L$4-$L$5,_xlfn.RANK.EQ(Tabulka171013253137434955616773[[#This Row],[ ]],Tabulka171013253137434955616773[[ ]],1))))</f>
        <v/>
      </c>
      <c r="D10" s="7"/>
      <c r="E10" s="8"/>
      <c r="F10" s="8"/>
      <c r="G10" s="9" t="str">
        <f>IF(OR(Tabulka171013253137434955616773[[#This Row],[LP]]="N",Tabulka171013253137434955616773[[#This Row],[PP]]="N"),"N",IF(OR(Tabulka171013253137434955616773[[#This Row],[LP]]="D",Tabulka171013253137434955616773[[#This Row],[PP]]="D"),"D",IF(OR(Tabulka171013253137434955616773[[#This Row],[LP]]="NEÚČAST",Tabulka171013253137434955616773[[#This Row],[PP]]="NEÚČAST"),"NEÚČAST",IF(OR(Tabulka171013253137434955616773[[#This Row],[LP]]="",Tabulka171013253137434955616773[[#This Row],[PP]]=""),"",MAX(Tabulka171013253137434955616773[[#This Row],[LP]:[PP]])))))</f>
        <v/>
      </c>
      <c r="H10" s="1">
        <f>COUNTIF(Tabulka171013253137434955616773[[#This Row],[Tým]],"*")</f>
        <v>0</v>
      </c>
      <c r="I10" s="1">
        <f>COUNTIF(Tabulka171013253137434955616773[[#This Row],[Výsledný čas]],"NEÚČAST")</f>
        <v>0</v>
      </c>
      <c r="J10" s="1" t="str">
        <f>IF(Tabulka171013253137434955616773[[#This Row],[Výsledný čas]]="N",998,IF(Tabulka171013253137434955616773[[#This Row],[Výsledný čas]]="D",998,IF(Tabulka171013253137434955616773[[#This Row],[Výsledný čas]]="","",Tabulka171013253137434955616773[[#This Row],[Výsledný čas]])))</f>
        <v/>
      </c>
      <c r="N10" s="30"/>
      <c r="O10" s="25" t="str">
        <f>IF(Tabulka1710136303642485460667278[[#This Row],[ ]]="","",IF(Tabulka1710136303642485460667278[[#This Row],[ ]]="NEÚČAST","",IF(OR(Tabulka1710136303642485460667278[Výsledný čas]="N",Tabulka1710136303642485460667278[Výsledný čas]="D"),$X$4-$X$5,_xlfn.RANK.EQ(Tabulka1710136303642485460667278[[#This Row],[ ]],Tabulka1710136303642485460667278[[ ]],1))))</f>
        <v/>
      </c>
      <c r="P10" s="26"/>
      <c r="Q10" s="5"/>
      <c r="R10" s="5"/>
      <c r="S10" s="25" t="str">
        <f>IF(OR(Tabulka1710136303642485460667278[[#This Row],[LP]]="N",Tabulka1710136303642485460667278[[#This Row],[PP]]="N"),"N",IF(OR(Tabulka1710136303642485460667278[[#This Row],[LP]]="D",Tabulka1710136303642485460667278[[#This Row],[PP]]="D"),"D",IF(OR(Tabulka1710136303642485460667278[[#This Row],[LP]]="NEÚČAST",Tabulka1710136303642485460667278[[#This Row],[PP]]="NEÚČAST"),"NEÚČAST",IF(OR(Tabulka1710136303642485460667278[[#This Row],[LP]]="",Tabulka1710136303642485460667278[[#This Row],[PP]]=""),"",MAX(Tabulka1710136303642485460667278[[#This Row],[LP]:[PP]])))))</f>
        <v/>
      </c>
      <c r="T10" s="46">
        <f>COUNTIF(Tabulka1710136303642485460667278[[#This Row],[Tým]],"*")</f>
        <v>0</v>
      </c>
      <c r="U10" s="46">
        <f>COUNTIF(Tabulka1710136303642485460667278[[#This Row],[Výsledný čas]],"NEÚČAST")</f>
        <v>0</v>
      </c>
      <c r="V10" s="29" t="str">
        <f>IF(Tabulka1710136303642485460667278[[#This Row],[Výsledný čas]]="N",998,IF(Tabulka1710136303642485460667278[[#This Row],[Výsledný čas]]="D",998,IF(Tabulka1710136303642485460667278[[#This Row],[Výsledný čas]]="","",Tabulka1710136303642485460667278[[#This Row],[Výsledný čas]])))</f>
        <v/>
      </c>
      <c r="Y10" s="15"/>
      <c r="Z10" s="31" t="e">
        <f>IF(OR(Tabulka381114263238445056626874[Výsledný čas]="N",Tabulka381114263238445056626874[Výsledný čas]="D",Tabulka381114263238445056626874[Výsledný čas]="NEÚČAST"),Uvod!$E$4,_xlfn.RANK.EQ(Tabulka381114263238445056626874[[#This Row],[ ]],Tabulka381114263238445056626874[[ ]],1))</f>
        <v>#N/A</v>
      </c>
      <c r="AA10" s="51" t="s">
        <v>10</v>
      </c>
      <c r="AB10" s="44" t="e">
        <f>VLOOKUP(Tabulka381114263238445056626874[[#This Row],[Tým]],Tabulka171013253137434955616773[[Tým]:[ ]],2,FALSE)</f>
        <v>#N/A</v>
      </c>
      <c r="AC10" s="44" t="e">
        <f>VLOOKUP(Tabulka381114263238445056626874[[#This Row],[Tým]],Tabulka171013253137434955616773[[Tým]:[ ]],3,FALSE)</f>
        <v>#N/A</v>
      </c>
      <c r="AD10" s="25" t="e">
        <f>VLOOKUP(Tabulka381114263238445056626874[[#This Row],[Tým]],Tabulka171013253137434955616773[[Tým]:[ ]],4,FALSE)</f>
        <v>#N/A</v>
      </c>
      <c r="AE10" s="25" t="e">
        <f>VLOOKUP(Tabulka381114263238445056626874[[#This Row],[Tým]],Tabulka171013253137434955616773[[Tým]:[ ]],7,FALSE)</f>
        <v>#N/A</v>
      </c>
      <c r="AF10" s="29" t="e">
        <f>IF(Tabulka381114263238445056626874[[#This Row],[Výsledný čas]]="N",5,IF(Tabulka381114263238445056626874[[#This Row],[Výsledný čas]]="D",0,IF(Tabulka381114263238445056626874[[#This Row],[Výsledný čas]]="NEÚČAST",0,Tabulka4[[#Totals],[Týmy muži]]+6-Tabulka381114263238445056626874[[#This Row],[Umístění]])))</f>
        <v>#N/A</v>
      </c>
      <c r="AH10" s="31" t="e">
        <f>_xlfn.RANK.EQ(Tabulka591215273339455157636975[[#This Row],[Body]],Tabulka591215273339455157636975[Body],0)</f>
        <v>#N/A</v>
      </c>
      <c r="AI10" s="51" t="s">
        <v>10</v>
      </c>
      <c r="AJ10" s="29" t="e">
        <f>VLOOKUP(Tabulka591215273339455157636975[[#This Row],[Tým]],Tabulka381114263238445056626874[[Tým]:[Body]],6,FALSE)+Tabulka591215273339455157636975[[#This Row],[ ]]</f>
        <v>#N/A</v>
      </c>
      <c r="AK10" s="75" t="e">
        <f>VLOOKUP(Tabulka591215273339455157636975[[#This Row],[Tým]],Tabulka5912152733394551576369[[Tým]:[Body]],2,FALSE)</f>
        <v>#N/A</v>
      </c>
      <c r="AL10" s="82" t="e">
        <f>Tabulka591215273339455157636975[[#This Row],[Umístění]]</f>
        <v>#N/A</v>
      </c>
      <c r="AM10" s="15"/>
      <c r="AP10" s="1"/>
    </row>
    <row r="11" spans="1:42" ht="24.95" customHeight="1" x14ac:dyDescent="0.4">
      <c r="B11" s="6"/>
      <c r="C11" s="1" t="str">
        <f>IF(Tabulka171013253137434955616773[[#This Row],[ ]]="","",IF(Tabulka171013253137434955616773[[#This Row],[ ]]="NEÚČAST","",IF(OR(Tabulka171013253137434955616773[Výsledný čas]="N",Tabulka171013253137434955616773[Výsledný čas]="D"),$L$4-$L$5,_xlfn.RANK.EQ(Tabulka171013253137434955616773[[#This Row],[ ]],Tabulka171013253137434955616773[[ ]],1))))</f>
        <v/>
      </c>
      <c r="D11" s="7"/>
      <c r="E11" s="8"/>
      <c r="F11" s="8"/>
      <c r="G11" s="9" t="str">
        <f>IF(OR(Tabulka171013253137434955616773[[#This Row],[LP]]="N",Tabulka171013253137434955616773[[#This Row],[PP]]="N"),"N",IF(OR(Tabulka171013253137434955616773[[#This Row],[LP]]="D",Tabulka171013253137434955616773[[#This Row],[PP]]="D"),"D",IF(OR(Tabulka171013253137434955616773[[#This Row],[LP]]="NEÚČAST",Tabulka171013253137434955616773[[#This Row],[PP]]="NEÚČAST"),"NEÚČAST",IF(OR(Tabulka171013253137434955616773[[#This Row],[LP]]="",Tabulka171013253137434955616773[[#This Row],[PP]]=""),"",MAX(Tabulka171013253137434955616773[[#This Row],[LP]:[PP]])))))</f>
        <v/>
      </c>
      <c r="H11" s="1">
        <f>COUNTIF(Tabulka171013253137434955616773[[#This Row],[Tým]],"*")</f>
        <v>0</v>
      </c>
      <c r="I11" s="1">
        <f>COUNTIF(Tabulka171013253137434955616773[[#This Row],[Výsledný čas]],"NEÚČAST")</f>
        <v>0</v>
      </c>
      <c r="J11" s="1" t="str">
        <f>IF(Tabulka171013253137434955616773[[#This Row],[Výsledný čas]]="N",998,IF(Tabulka171013253137434955616773[[#This Row],[Výsledný čas]]="D",998,IF(Tabulka171013253137434955616773[[#This Row],[Výsledný čas]]="","",Tabulka171013253137434955616773[[#This Row],[Výsledný čas]])))</f>
        <v/>
      </c>
      <c r="N11" s="30"/>
      <c r="O11" s="25" t="str">
        <f>IF(Tabulka1710136303642485460667278[[#This Row],[ ]]="","",IF(Tabulka1710136303642485460667278[[#This Row],[ ]]="NEÚČAST","",IF(OR(Tabulka1710136303642485460667278[Výsledný čas]="N",Tabulka1710136303642485460667278[Výsledný čas]="D"),$X$4-$X$5,_xlfn.RANK.EQ(Tabulka1710136303642485460667278[[#This Row],[ ]],Tabulka1710136303642485460667278[[ ]],1))))</f>
        <v/>
      </c>
      <c r="P11" s="26"/>
      <c r="Q11" s="5"/>
      <c r="R11" s="5"/>
      <c r="S11" s="25" t="str">
        <f>IF(OR(Tabulka1710136303642485460667278[[#This Row],[LP]]="N",Tabulka1710136303642485460667278[[#This Row],[PP]]="N"),"N",IF(OR(Tabulka1710136303642485460667278[[#This Row],[LP]]="D",Tabulka1710136303642485460667278[[#This Row],[PP]]="D"),"D",IF(OR(Tabulka1710136303642485460667278[[#This Row],[LP]]="NEÚČAST",Tabulka1710136303642485460667278[[#This Row],[PP]]="NEÚČAST"),"NEÚČAST",IF(OR(Tabulka1710136303642485460667278[[#This Row],[LP]]="",Tabulka1710136303642485460667278[[#This Row],[PP]]=""),"",MAX(Tabulka1710136303642485460667278[[#This Row],[LP]:[PP]])))))</f>
        <v/>
      </c>
      <c r="T11" s="46">
        <f>COUNTIF(Tabulka1710136303642485460667278[[#This Row],[Tým]],"*")</f>
        <v>0</v>
      </c>
      <c r="U11" s="46">
        <f>COUNTIF(Tabulka1710136303642485460667278[[#This Row],[Výsledný čas]],"NEÚČAST")</f>
        <v>0</v>
      </c>
      <c r="V11" s="29" t="str">
        <f>IF(Tabulka1710136303642485460667278[[#This Row],[Výsledný čas]]="N",998,IF(Tabulka1710136303642485460667278[[#This Row],[Výsledný čas]]="D",998,IF(Tabulka1710136303642485460667278[[#This Row],[Výsledný čas]]="","",Tabulka1710136303642485460667278[[#This Row],[Výsledný čas]])))</f>
        <v/>
      </c>
      <c r="Y11" s="15"/>
      <c r="Z11" s="31" t="e">
        <f>IF(OR(Tabulka381114263238445056626874[Výsledný čas]="N",Tabulka381114263238445056626874[Výsledný čas]="D",Tabulka381114263238445056626874[Výsledný čas]="NEÚČAST"),Uvod!$E$4,_xlfn.RANK.EQ(Tabulka381114263238445056626874[[#This Row],[ ]],Tabulka381114263238445056626874[[ ]],1))</f>
        <v>#N/A</v>
      </c>
      <c r="AA11" s="51" t="s">
        <v>18</v>
      </c>
      <c r="AB11" s="44" t="e">
        <f>VLOOKUP(Tabulka381114263238445056626874[[#This Row],[Tým]],Tabulka171013253137434955616773[[Tým]:[ ]],2,FALSE)</f>
        <v>#N/A</v>
      </c>
      <c r="AC11" s="44" t="e">
        <f>VLOOKUP(Tabulka381114263238445056626874[[#This Row],[Tým]],Tabulka171013253137434955616773[[Tým]:[ ]],3,FALSE)</f>
        <v>#N/A</v>
      </c>
      <c r="AD11" s="25" t="e">
        <f>VLOOKUP(Tabulka381114263238445056626874[[#This Row],[Tým]],Tabulka171013253137434955616773[[Tým]:[ ]],4,FALSE)</f>
        <v>#N/A</v>
      </c>
      <c r="AE11" s="25" t="e">
        <f>VLOOKUP(Tabulka381114263238445056626874[[#This Row],[Tým]],Tabulka171013253137434955616773[[Tým]:[ ]],7,FALSE)</f>
        <v>#N/A</v>
      </c>
      <c r="AF11" s="29" t="e">
        <f>IF(Tabulka381114263238445056626874[[#This Row],[Výsledný čas]]="N",5,IF(Tabulka381114263238445056626874[[#This Row],[Výsledný čas]]="D",0,IF(Tabulka381114263238445056626874[[#This Row],[Výsledný čas]]="NEÚČAST",0,Tabulka4[[#Totals],[Týmy muži]]+6-Tabulka381114263238445056626874[[#This Row],[Umístění]])))</f>
        <v>#N/A</v>
      </c>
      <c r="AH11" s="31" t="e">
        <f>_xlfn.RANK.EQ(Tabulka591215273339455157636975[[#This Row],[Body]],Tabulka591215273339455157636975[Body],0)</f>
        <v>#N/A</v>
      </c>
      <c r="AI11" s="51" t="s">
        <v>18</v>
      </c>
      <c r="AJ11" s="29" t="e">
        <f>VLOOKUP(Tabulka591215273339455157636975[[#This Row],[Tým]],Tabulka381114263238445056626874[[Tým]:[Body]],6,FALSE)+Tabulka591215273339455157636975[[#This Row],[ ]]</f>
        <v>#N/A</v>
      </c>
      <c r="AK11" s="75" t="e">
        <f>VLOOKUP(Tabulka591215273339455157636975[[#This Row],[Tým]],Tabulka5912152733394551576369[[Tým]:[Body]],2,FALSE)</f>
        <v>#N/A</v>
      </c>
      <c r="AL11" s="82" t="e">
        <f>Tabulka591215273339455157636975[[#This Row],[Umístění]]</f>
        <v>#N/A</v>
      </c>
      <c r="AM11" s="15"/>
      <c r="AP11" s="1"/>
    </row>
    <row r="12" spans="1:42" ht="24.95" customHeight="1" x14ac:dyDescent="0.4">
      <c r="B12" s="6"/>
      <c r="C12" s="1" t="str">
        <f>IF(Tabulka171013253137434955616773[[#This Row],[ ]]="","",IF(Tabulka171013253137434955616773[[#This Row],[ ]]="NEÚČAST","",IF(OR(Tabulka171013253137434955616773[Výsledný čas]="N",Tabulka171013253137434955616773[Výsledný čas]="D"),$L$4-$L$5,_xlfn.RANK.EQ(Tabulka171013253137434955616773[[#This Row],[ ]],Tabulka171013253137434955616773[[ ]],1))))</f>
        <v/>
      </c>
      <c r="D12" s="7"/>
      <c r="E12" s="8"/>
      <c r="F12" s="8"/>
      <c r="G12" s="9" t="str">
        <f>IF(OR(Tabulka171013253137434955616773[[#This Row],[LP]]="N",Tabulka171013253137434955616773[[#This Row],[PP]]="N"),"N",IF(OR(Tabulka171013253137434955616773[[#This Row],[LP]]="D",Tabulka171013253137434955616773[[#This Row],[PP]]="D"),"D",IF(OR(Tabulka171013253137434955616773[[#This Row],[LP]]="NEÚČAST",Tabulka171013253137434955616773[[#This Row],[PP]]="NEÚČAST"),"NEÚČAST",IF(OR(Tabulka171013253137434955616773[[#This Row],[LP]]="",Tabulka171013253137434955616773[[#This Row],[PP]]=""),"",MAX(Tabulka171013253137434955616773[[#This Row],[LP]:[PP]])))))</f>
        <v/>
      </c>
      <c r="H12" s="1">
        <f>COUNTIF(Tabulka171013253137434955616773[[#This Row],[Tým]],"*")</f>
        <v>0</v>
      </c>
      <c r="I12" s="1">
        <f>COUNTIF(Tabulka171013253137434955616773[[#This Row],[Výsledný čas]],"NEÚČAST")</f>
        <v>0</v>
      </c>
      <c r="J12" s="1" t="str">
        <f>IF(Tabulka171013253137434955616773[[#This Row],[Výsledný čas]]="N",998,IF(Tabulka171013253137434955616773[[#This Row],[Výsledný čas]]="D",998,IF(Tabulka171013253137434955616773[[#This Row],[Výsledný čas]]="","",Tabulka171013253137434955616773[[#This Row],[Výsledný čas]])))</f>
        <v/>
      </c>
      <c r="N12" s="58"/>
      <c r="O12" s="59" t="str">
        <f>IF(Tabulka1710136303642485460667278[[#This Row],[ ]]="","",IF(Tabulka1710136303642485460667278[[#This Row],[ ]]="NEÚČAST","",IF(OR(Tabulka1710136303642485460667278[Výsledný čas]="N",Tabulka1710136303642485460667278[Výsledný čas]="D"),$X$4-$X$5,_xlfn.RANK.EQ(Tabulka1710136303642485460667278[[#This Row],[ ]],Tabulka1710136303642485460667278[[ ]],1))))</f>
        <v/>
      </c>
      <c r="P12" s="89"/>
      <c r="Q12" s="90"/>
      <c r="R12" s="90"/>
      <c r="S12" s="59" t="str">
        <f>IF(OR(Tabulka1710136303642485460667278[[#This Row],[LP]]="N",Tabulka1710136303642485460667278[[#This Row],[PP]]="N"),"N",IF(OR(Tabulka1710136303642485460667278[[#This Row],[LP]]="D",Tabulka1710136303642485460667278[[#This Row],[PP]]="D"),"D",IF(OR(Tabulka1710136303642485460667278[[#This Row],[LP]]="NEÚČAST",Tabulka1710136303642485460667278[[#This Row],[PP]]="NEÚČAST"),"NEÚČAST",IF(OR(Tabulka1710136303642485460667278[[#This Row],[LP]]="",Tabulka1710136303642485460667278[[#This Row],[PP]]=""),"",MAX(Tabulka1710136303642485460667278[[#This Row],[LP]:[PP]])))))</f>
        <v/>
      </c>
      <c r="T12" s="158">
        <f>COUNTIF(Tabulka1710136303642485460667278[[#This Row],[Tým]],"*")</f>
        <v>0</v>
      </c>
      <c r="U12" s="158">
        <f>COUNTIF(Tabulka1710136303642485460667278[[#This Row],[Výsledný čas]],"NEÚČAST")</f>
        <v>0</v>
      </c>
      <c r="V12" s="60" t="str">
        <f>IF(Tabulka1710136303642485460667278[[#This Row],[Výsledný čas]]="N",998,IF(Tabulka1710136303642485460667278[[#This Row],[Výsledný čas]]="D",998,IF(Tabulka1710136303642485460667278[[#This Row],[Výsledný čas]]="","",Tabulka1710136303642485460667278[[#This Row],[Výsledný čas]])))</f>
        <v/>
      </c>
      <c r="Y12" s="15"/>
      <c r="Z12" s="31" t="e">
        <f>IF(OR(Tabulka381114263238445056626874[Výsledný čas]="N",Tabulka381114263238445056626874[Výsledný čas]="D",Tabulka381114263238445056626874[Výsledný čas]="NEÚČAST"),Uvod!$E$4,_xlfn.RANK.EQ(Tabulka381114263238445056626874[[#This Row],[ ]],Tabulka381114263238445056626874[[ ]],1))</f>
        <v>#N/A</v>
      </c>
      <c r="AA12" s="51" t="s">
        <v>23</v>
      </c>
      <c r="AB12" s="44" t="e">
        <f>VLOOKUP(Tabulka381114263238445056626874[[#This Row],[Tým]],Tabulka171013253137434955616773[[Tým]:[ ]],2,FALSE)</f>
        <v>#N/A</v>
      </c>
      <c r="AC12" s="44" t="e">
        <f>VLOOKUP(Tabulka381114263238445056626874[[#This Row],[Tým]],Tabulka171013253137434955616773[[Tým]:[ ]],3,FALSE)</f>
        <v>#N/A</v>
      </c>
      <c r="AD12" s="25" t="e">
        <f>VLOOKUP(Tabulka381114263238445056626874[[#This Row],[Tým]],Tabulka171013253137434955616773[[Tým]:[ ]],4,FALSE)</f>
        <v>#N/A</v>
      </c>
      <c r="AE12" s="25" t="e">
        <f>VLOOKUP(Tabulka381114263238445056626874[[#This Row],[Tým]],Tabulka171013253137434955616773[[Tým]:[ ]],7,FALSE)</f>
        <v>#N/A</v>
      </c>
      <c r="AF12" s="29" t="e">
        <f>IF(Tabulka381114263238445056626874[[#This Row],[Výsledný čas]]="N",5,IF(Tabulka381114263238445056626874[[#This Row],[Výsledný čas]]="D",0,IF(Tabulka381114263238445056626874[[#This Row],[Výsledný čas]]="NEÚČAST",0,Tabulka4[[#Totals],[Týmy muži]]+6-Tabulka381114263238445056626874[[#This Row],[Umístění]])))</f>
        <v>#N/A</v>
      </c>
      <c r="AH12" s="31" t="e">
        <f>_xlfn.RANK.EQ(Tabulka591215273339455157636975[[#This Row],[Body]],Tabulka591215273339455157636975[Body],0)</f>
        <v>#N/A</v>
      </c>
      <c r="AI12" s="51" t="s">
        <v>23</v>
      </c>
      <c r="AJ12" s="29" t="e">
        <f>VLOOKUP(Tabulka591215273339455157636975[[#This Row],[Tým]],Tabulka381114263238445056626874[[Tým]:[Body]],6,FALSE)+Tabulka591215273339455157636975[[#This Row],[ ]]</f>
        <v>#N/A</v>
      </c>
      <c r="AK12" s="75" t="e">
        <f>VLOOKUP(Tabulka591215273339455157636975[[#This Row],[Tým]],Tabulka5912152733394551576369[[Tým]:[Body]],2,FALSE)</f>
        <v>#N/A</v>
      </c>
      <c r="AL12" s="82" t="e">
        <f>Tabulka591215273339455157636975[[#This Row],[Umístění]]</f>
        <v>#N/A</v>
      </c>
      <c r="AM12" s="15"/>
      <c r="AP12" s="1"/>
    </row>
    <row r="13" spans="1:42" ht="24.95" customHeight="1" x14ac:dyDescent="0.4">
      <c r="B13" s="6"/>
      <c r="C13" s="1" t="str">
        <f>IF(Tabulka171013253137434955616773[[#This Row],[ ]]="","",IF(Tabulka171013253137434955616773[[#This Row],[ ]]="NEÚČAST","",IF(OR(Tabulka171013253137434955616773[Výsledný čas]="N",Tabulka171013253137434955616773[Výsledný čas]="D"),$L$4-$L$5,_xlfn.RANK.EQ(Tabulka171013253137434955616773[[#This Row],[ ]],Tabulka171013253137434955616773[[ ]],1))))</f>
        <v/>
      </c>
      <c r="D13" s="7"/>
      <c r="E13" s="8"/>
      <c r="F13" s="8"/>
      <c r="G13" s="9" t="str">
        <f>IF(OR(Tabulka171013253137434955616773[[#This Row],[LP]]="N",Tabulka171013253137434955616773[[#This Row],[PP]]="N"),"N",IF(OR(Tabulka171013253137434955616773[[#This Row],[LP]]="D",Tabulka171013253137434955616773[[#This Row],[PP]]="D"),"D",IF(OR(Tabulka171013253137434955616773[[#This Row],[LP]]="NEÚČAST",Tabulka171013253137434955616773[[#This Row],[PP]]="NEÚČAST"),"NEÚČAST",IF(OR(Tabulka171013253137434955616773[[#This Row],[LP]]="",Tabulka171013253137434955616773[[#This Row],[PP]]=""),"",MAX(Tabulka171013253137434955616773[[#This Row],[LP]:[PP]])))))</f>
        <v/>
      </c>
      <c r="H13" s="1">
        <f>COUNTIF(Tabulka171013253137434955616773[[#This Row],[Tým]],"*")</f>
        <v>0</v>
      </c>
      <c r="I13" s="1">
        <f>COUNTIF(Tabulka171013253137434955616773[[#This Row],[Výsledný čas]],"NEÚČAST")</f>
        <v>0</v>
      </c>
      <c r="J13" s="1" t="str">
        <f>IF(Tabulka171013253137434955616773[[#This Row],[Výsledný čas]]="N",998,IF(Tabulka171013253137434955616773[[#This Row],[Výsledný čas]]="D",998,IF(Tabulka171013253137434955616773[[#This Row],[Výsledný čas]]="","",Tabulka171013253137434955616773[[#This Row],[Výsledný čas]])))</f>
        <v/>
      </c>
      <c r="P13" s="7"/>
      <c r="Q13" s="8"/>
      <c r="R13" s="8"/>
      <c r="Z13" s="31" t="e">
        <f>IF(OR(Tabulka381114263238445056626874[Výsledný čas]="N",Tabulka381114263238445056626874[Výsledný čas]="D",Tabulka381114263238445056626874[Výsledný čas]="NEÚČAST"),Uvod!$E$4,_xlfn.RANK.EQ(Tabulka381114263238445056626874[[#This Row],[ ]],Tabulka381114263238445056626874[[ ]],1))</f>
        <v>#N/A</v>
      </c>
      <c r="AA13" s="51" t="s">
        <v>6</v>
      </c>
      <c r="AB13" s="44" t="e">
        <f>VLOOKUP(Tabulka381114263238445056626874[[#This Row],[Tým]],Tabulka171013253137434955616773[[Tým]:[ ]],2,FALSE)</f>
        <v>#N/A</v>
      </c>
      <c r="AC13" s="44" t="e">
        <f>VLOOKUP(Tabulka381114263238445056626874[[#This Row],[Tým]],Tabulka171013253137434955616773[[Tým]:[ ]],3,FALSE)</f>
        <v>#N/A</v>
      </c>
      <c r="AD13" s="25" t="e">
        <f>VLOOKUP(Tabulka381114263238445056626874[[#This Row],[Tým]],Tabulka171013253137434955616773[[Tým]:[ ]],4,FALSE)</f>
        <v>#N/A</v>
      </c>
      <c r="AE13" s="25" t="e">
        <f>VLOOKUP(Tabulka381114263238445056626874[[#This Row],[Tým]],Tabulka171013253137434955616773[[Tým]:[ ]],7,FALSE)</f>
        <v>#N/A</v>
      </c>
      <c r="AF13" s="29" t="e">
        <f>IF(Tabulka381114263238445056626874[[#This Row],[Výsledný čas]]="N",5,IF(Tabulka381114263238445056626874[[#This Row],[Výsledný čas]]="D",0,IF(Tabulka381114263238445056626874[[#This Row],[Výsledný čas]]="NEÚČAST",0,Tabulka4[[#Totals],[Týmy muži]]+6-Tabulka381114263238445056626874[[#This Row],[Umístění]])))</f>
        <v>#N/A</v>
      </c>
      <c r="AH13" s="31" t="e">
        <f>_xlfn.RANK.EQ(Tabulka591215273339455157636975[[#This Row],[Body]],Tabulka591215273339455157636975[Body],0)</f>
        <v>#N/A</v>
      </c>
      <c r="AI13" s="51" t="s">
        <v>6</v>
      </c>
      <c r="AJ13" s="29" t="e">
        <f>VLOOKUP(Tabulka591215273339455157636975[[#This Row],[Tým]],Tabulka381114263238445056626874[[Tým]:[Body]],6,FALSE)+Tabulka591215273339455157636975[[#This Row],[ ]]</f>
        <v>#N/A</v>
      </c>
      <c r="AK13" s="75" t="e">
        <f>VLOOKUP(Tabulka591215273339455157636975[[#This Row],[Tým]],Tabulka5912152733394551576369[[Tým]:[Body]],2,FALSE)</f>
        <v>#N/A</v>
      </c>
      <c r="AL13" s="82" t="e">
        <f>Tabulka591215273339455157636975[[#This Row],[Umístění]]</f>
        <v>#N/A</v>
      </c>
      <c r="AM13" s="15"/>
      <c r="AP13" s="1"/>
    </row>
    <row r="14" spans="1:42" ht="24.95" customHeight="1" x14ac:dyDescent="0.4">
      <c r="B14" s="6"/>
      <c r="C14" s="1" t="str">
        <f>IF(Tabulka171013253137434955616773[[#This Row],[ ]]="","",IF(Tabulka171013253137434955616773[[#This Row],[ ]]="NEÚČAST","",IF(OR(Tabulka171013253137434955616773[Výsledný čas]="N",Tabulka171013253137434955616773[Výsledný čas]="D"),$L$4-$L$5,_xlfn.RANK.EQ(Tabulka171013253137434955616773[[#This Row],[ ]],Tabulka171013253137434955616773[[ ]],1))))</f>
        <v/>
      </c>
      <c r="D14" s="7"/>
      <c r="E14" s="8"/>
      <c r="F14" s="8"/>
      <c r="G14" s="9" t="str">
        <f>IF(OR(Tabulka171013253137434955616773[[#This Row],[LP]]="N",Tabulka171013253137434955616773[[#This Row],[PP]]="N"),"N",IF(OR(Tabulka171013253137434955616773[[#This Row],[LP]]="D",Tabulka171013253137434955616773[[#This Row],[PP]]="D"),"D",IF(OR(Tabulka171013253137434955616773[[#This Row],[LP]]="NEÚČAST",Tabulka171013253137434955616773[[#This Row],[PP]]="NEÚČAST"),"NEÚČAST",IF(OR(Tabulka171013253137434955616773[[#This Row],[LP]]="",Tabulka171013253137434955616773[[#This Row],[PP]]=""),"",MAX(Tabulka171013253137434955616773[[#This Row],[LP]:[PP]])))))</f>
        <v/>
      </c>
      <c r="H14" s="1">
        <f>COUNTIF(Tabulka171013253137434955616773[[#This Row],[Tým]],"*")</f>
        <v>0</v>
      </c>
      <c r="I14" s="1">
        <f>COUNTIF(Tabulka171013253137434955616773[[#This Row],[Výsledný čas]],"NEÚČAST")</f>
        <v>0</v>
      </c>
      <c r="J14" s="1" t="str">
        <f>IF(Tabulka171013253137434955616773[[#This Row],[Výsledný čas]]="N",998,IF(Tabulka171013253137434955616773[[#This Row],[Výsledný čas]]="D",998,IF(Tabulka171013253137434955616773[[#This Row],[Výsledný čas]]="","",Tabulka171013253137434955616773[[#This Row],[Výsledný čas]])))</f>
        <v/>
      </c>
      <c r="N14" s="68"/>
      <c r="P14" s="7"/>
      <c r="Q14" s="8"/>
      <c r="R14" s="8"/>
      <c r="Z14" s="31" t="e">
        <f>IF(OR(Tabulka381114263238445056626874[Výsledný čas]="N",Tabulka381114263238445056626874[Výsledný čas]="D",Tabulka381114263238445056626874[Výsledný čas]="NEÚČAST"),Uvod!$E$4,_xlfn.RANK.EQ(Tabulka381114263238445056626874[[#This Row],[ ]],Tabulka381114263238445056626874[[ ]],1))</f>
        <v>#N/A</v>
      </c>
      <c r="AA14" s="51" t="s">
        <v>31</v>
      </c>
      <c r="AB14" s="44" t="e">
        <f>VLOOKUP(Tabulka381114263238445056626874[[#This Row],[Tým]],Tabulka171013253137434955616773[[Tým]:[ ]],2,FALSE)</f>
        <v>#N/A</v>
      </c>
      <c r="AC14" s="44" t="e">
        <f>VLOOKUP(Tabulka381114263238445056626874[[#This Row],[Tým]],Tabulka171013253137434955616773[[Tým]:[ ]],3,FALSE)</f>
        <v>#N/A</v>
      </c>
      <c r="AD14" s="25" t="e">
        <f>VLOOKUP(Tabulka381114263238445056626874[[#This Row],[Tým]],Tabulka171013253137434955616773[[Tým]:[ ]],4,FALSE)</f>
        <v>#N/A</v>
      </c>
      <c r="AE14" s="25" t="e">
        <f>VLOOKUP(Tabulka381114263238445056626874[[#This Row],[Tým]],Tabulka171013253137434955616773[[Tým]:[ ]],7,FALSE)</f>
        <v>#N/A</v>
      </c>
      <c r="AF14" s="29" t="e">
        <f>IF(Tabulka381114263238445056626874[[#This Row],[Výsledný čas]]="N",5,IF(Tabulka381114263238445056626874[[#This Row],[Výsledný čas]]="D",0,IF(Tabulka381114263238445056626874[[#This Row],[Výsledný čas]]="NEÚČAST",0,Tabulka4[[#Totals],[Týmy muži]]+6-Tabulka381114263238445056626874[[#This Row],[Umístění]])))</f>
        <v>#N/A</v>
      </c>
      <c r="AH14" s="31" t="e">
        <f>_xlfn.RANK.EQ(Tabulka591215273339455157636975[[#This Row],[Body]],Tabulka591215273339455157636975[Body],0)</f>
        <v>#N/A</v>
      </c>
      <c r="AI14" s="51" t="s">
        <v>31</v>
      </c>
      <c r="AJ14" s="29" t="e">
        <f>VLOOKUP(Tabulka591215273339455157636975[[#This Row],[Tým]],Tabulka381114263238445056626874[[Tým]:[Body]],6,FALSE)+Tabulka591215273339455157636975[[#This Row],[ ]]</f>
        <v>#N/A</v>
      </c>
      <c r="AK14" s="75" t="e">
        <f>VLOOKUP(Tabulka591215273339455157636975[[#This Row],[Tým]],Tabulka5912152733394551576369[[Tým]:[Body]],2,FALSE)</f>
        <v>#N/A</v>
      </c>
      <c r="AL14" s="82" t="e">
        <f>Tabulka591215273339455157636975[[#This Row],[Umístění]]</f>
        <v>#N/A</v>
      </c>
      <c r="AM14" s="15"/>
      <c r="AP14" s="1"/>
    </row>
    <row r="15" spans="1:42" ht="24.95" customHeight="1" x14ac:dyDescent="0.4">
      <c r="B15" s="6"/>
      <c r="C15" s="1" t="str">
        <f>IF(Tabulka171013253137434955616773[[#This Row],[ ]]="","",IF(Tabulka171013253137434955616773[[#This Row],[ ]]="NEÚČAST","",IF(OR(Tabulka171013253137434955616773[Výsledný čas]="N",Tabulka171013253137434955616773[Výsledný čas]="D"),$L$4-$L$5,_xlfn.RANK.EQ(Tabulka171013253137434955616773[[#This Row],[ ]],Tabulka171013253137434955616773[[ ]],1))))</f>
        <v/>
      </c>
      <c r="D15" s="7"/>
      <c r="E15" s="8"/>
      <c r="F15" s="8"/>
      <c r="G15" s="9" t="str">
        <f>IF(OR(Tabulka171013253137434955616773[[#This Row],[LP]]="N",Tabulka171013253137434955616773[[#This Row],[PP]]="N"),"N",IF(OR(Tabulka171013253137434955616773[[#This Row],[LP]]="D",Tabulka171013253137434955616773[[#This Row],[PP]]="D"),"D",IF(OR(Tabulka171013253137434955616773[[#This Row],[LP]]="NEÚČAST",Tabulka171013253137434955616773[[#This Row],[PP]]="NEÚČAST"),"NEÚČAST",IF(OR(Tabulka171013253137434955616773[[#This Row],[LP]]="",Tabulka171013253137434955616773[[#This Row],[PP]]=""),"",MAX(Tabulka171013253137434955616773[[#This Row],[LP]:[PP]])))))</f>
        <v/>
      </c>
      <c r="H15" s="1">
        <f>COUNTIF(Tabulka171013253137434955616773[[#This Row],[Tým]],"*")</f>
        <v>0</v>
      </c>
      <c r="I15" s="1">
        <f>COUNTIF(Tabulka171013253137434955616773[[#This Row],[Výsledný čas]],"NEÚČAST")</f>
        <v>0</v>
      </c>
      <c r="J15" s="1" t="str">
        <f>IF(Tabulka171013253137434955616773[[#This Row],[Výsledný čas]]="N",998,IF(Tabulka171013253137434955616773[[#This Row],[Výsledný čas]]="D",998,IF(Tabulka171013253137434955616773[[#This Row],[Výsledný čas]]="","",Tabulka171013253137434955616773[[#This Row],[Výsledný čas]])))</f>
        <v/>
      </c>
      <c r="N15" s="68"/>
      <c r="P15" s="7"/>
      <c r="Q15" s="8"/>
      <c r="R15" s="8"/>
      <c r="Z15" s="31" t="e">
        <f>IF(OR(Tabulka381114263238445056626874[Výsledný čas]="N",Tabulka381114263238445056626874[Výsledný čas]="D",Tabulka381114263238445056626874[Výsledný čas]="NEÚČAST"),Uvod!$E$4,_xlfn.RANK.EQ(Tabulka381114263238445056626874[[#This Row],[ ]],Tabulka381114263238445056626874[[ ]],1))</f>
        <v>#N/A</v>
      </c>
      <c r="AA15" s="51" t="s">
        <v>16</v>
      </c>
      <c r="AB15" s="44" t="e">
        <f>VLOOKUP(Tabulka381114263238445056626874[[#This Row],[Tým]],Tabulka171013253137434955616773[[Tým]:[ ]],2,FALSE)</f>
        <v>#N/A</v>
      </c>
      <c r="AC15" s="44" t="e">
        <f>VLOOKUP(Tabulka381114263238445056626874[[#This Row],[Tým]],Tabulka171013253137434955616773[[Tým]:[ ]],3,FALSE)</f>
        <v>#N/A</v>
      </c>
      <c r="AD15" s="25" t="e">
        <f>VLOOKUP(Tabulka381114263238445056626874[[#This Row],[Tým]],Tabulka171013253137434955616773[[Tým]:[ ]],4,FALSE)</f>
        <v>#N/A</v>
      </c>
      <c r="AE15" s="25" t="e">
        <f>VLOOKUP(Tabulka381114263238445056626874[[#This Row],[Tým]],Tabulka171013253137434955616773[[Tým]:[ ]],7,FALSE)</f>
        <v>#N/A</v>
      </c>
      <c r="AF15" s="29" t="e">
        <f>IF(Tabulka381114263238445056626874[[#This Row],[Výsledný čas]]="N",5,IF(Tabulka381114263238445056626874[[#This Row],[Výsledný čas]]="D",0,IF(Tabulka381114263238445056626874[[#This Row],[Výsledný čas]]="NEÚČAST",0,Tabulka4[[#Totals],[Týmy muži]]+6-Tabulka381114263238445056626874[[#This Row],[Umístění]])))</f>
        <v>#N/A</v>
      </c>
      <c r="AH15" s="31" t="e">
        <f>_xlfn.RANK.EQ(Tabulka591215273339455157636975[[#This Row],[Body]],Tabulka591215273339455157636975[Body],0)</f>
        <v>#N/A</v>
      </c>
      <c r="AI15" s="51" t="s">
        <v>16</v>
      </c>
      <c r="AJ15" s="29" t="e">
        <f>VLOOKUP(Tabulka591215273339455157636975[[#This Row],[Tým]],Tabulka381114263238445056626874[[Tým]:[Body]],6,FALSE)+Tabulka591215273339455157636975[[#This Row],[ ]]</f>
        <v>#N/A</v>
      </c>
      <c r="AK15" s="75" t="e">
        <f>VLOOKUP(Tabulka591215273339455157636975[[#This Row],[Tým]],Tabulka5912152733394551576369[[Tým]:[Body]],2,FALSE)</f>
        <v>#N/A</v>
      </c>
      <c r="AL15" s="82" t="e">
        <f>Tabulka591215273339455157636975[[#This Row],[Umístění]]</f>
        <v>#N/A</v>
      </c>
      <c r="AM15" s="15"/>
      <c r="AP15" s="1"/>
    </row>
    <row r="16" spans="1:42" ht="24.95" customHeight="1" x14ac:dyDescent="0.4">
      <c r="B16" s="11"/>
      <c r="C16" s="1" t="str">
        <f>IF(Tabulka171013253137434955616773[[#This Row],[ ]]="","",IF(Tabulka171013253137434955616773[[#This Row],[ ]]="NEÚČAST","",IF(OR(Tabulka171013253137434955616773[Výsledný čas]="N",Tabulka171013253137434955616773[Výsledný čas]="D"),$L$4-$L$5,_xlfn.RANK.EQ(Tabulka171013253137434955616773[[#This Row],[ ]],Tabulka171013253137434955616773[[ ]],1))))</f>
        <v/>
      </c>
      <c r="D16" s="7"/>
      <c r="E16" s="8"/>
      <c r="F16" s="8"/>
      <c r="G16" s="9" t="str">
        <f>IF(OR(Tabulka171013253137434955616773[[#This Row],[LP]]="N",Tabulka171013253137434955616773[[#This Row],[PP]]="N"),"N",IF(OR(Tabulka171013253137434955616773[[#This Row],[LP]]="D",Tabulka171013253137434955616773[[#This Row],[PP]]="D"),"D",IF(OR(Tabulka171013253137434955616773[[#This Row],[LP]]="NEÚČAST",Tabulka171013253137434955616773[[#This Row],[PP]]="NEÚČAST"),"NEÚČAST",IF(OR(Tabulka171013253137434955616773[[#This Row],[LP]]="",Tabulka171013253137434955616773[[#This Row],[PP]]=""),"",MAX(Tabulka171013253137434955616773[[#This Row],[LP]:[PP]])))))</f>
        <v/>
      </c>
      <c r="H16" s="1">
        <f>COUNTIF(Tabulka171013253137434955616773[[#This Row],[Tým]],"*")</f>
        <v>0</v>
      </c>
      <c r="I16" s="1">
        <f>COUNTIF(Tabulka171013253137434955616773[[#This Row],[Výsledný čas]],"NEÚČAST")</f>
        <v>0</v>
      </c>
      <c r="J16" s="1" t="str">
        <f>IF(Tabulka171013253137434955616773[[#This Row],[Výsledný čas]]="N",998,IF(Tabulka171013253137434955616773[[#This Row],[Výsledný čas]]="D",998,IF(Tabulka171013253137434955616773[[#This Row],[Výsledný čas]]="","",Tabulka171013253137434955616773[[#This Row],[Výsledný čas]])))</f>
        <v/>
      </c>
      <c r="N16" s="70"/>
      <c r="P16" s="7"/>
      <c r="Q16" s="8"/>
      <c r="R16" s="8"/>
      <c r="Z16" s="31" t="e">
        <f>IF(OR(Tabulka381114263238445056626874[Výsledný čas]="N",Tabulka381114263238445056626874[Výsledný čas]="D",Tabulka381114263238445056626874[Výsledný čas]="NEÚČAST"),Uvod!$E$4,_xlfn.RANK.EQ(Tabulka381114263238445056626874[[#This Row],[ ]],Tabulka381114263238445056626874[[ ]],1))</f>
        <v>#N/A</v>
      </c>
      <c r="AA16" s="51" t="s">
        <v>32</v>
      </c>
      <c r="AB16" s="44" t="e">
        <f>VLOOKUP(Tabulka381114263238445056626874[[#This Row],[Tým]],Tabulka171013253137434955616773[[Tým]:[ ]],2,FALSE)</f>
        <v>#N/A</v>
      </c>
      <c r="AC16" s="44" t="e">
        <f>VLOOKUP(Tabulka381114263238445056626874[[#This Row],[Tým]],Tabulka171013253137434955616773[[Tým]:[ ]],3,FALSE)</f>
        <v>#N/A</v>
      </c>
      <c r="AD16" s="25" t="e">
        <f>VLOOKUP(Tabulka381114263238445056626874[[#This Row],[Tým]],Tabulka171013253137434955616773[[Tým]:[ ]],4,FALSE)</f>
        <v>#N/A</v>
      </c>
      <c r="AE16" s="25" t="e">
        <f>VLOOKUP(Tabulka381114263238445056626874[[#This Row],[Tým]],Tabulka171013253137434955616773[[Tým]:[ ]],7,FALSE)</f>
        <v>#N/A</v>
      </c>
      <c r="AF16" s="29" t="e">
        <f>IF(Tabulka381114263238445056626874[[#This Row],[Výsledný čas]]="N",5,IF(Tabulka381114263238445056626874[[#This Row],[Výsledný čas]]="D",0,IF(Tabulka381114263238445056626874[[#This Row],[Výsledný čas]]="NEÚČAST",0,Tabulka4[[#Totals],[Týmy muži]]+6-Tabulka381114263238445056626874[[#This Row],[Umístění]])))</f>
        <v>#N/A</v>
      </c>
      <c r="AH16" s="31" t="e">
        <f>_xlfn.RANK.EQ(Tabulka591215273339455157636975[[#This Row],[Body]],Tabulka591215273339455157636975[Body],0)</f>
        <v>#N/A</v>
      </c>
      <c r="AI16" s="51" t="s">
        <v>32</v>
      </c>
      <c r="AJ16" s="29" t="e">
        <f>VLOOKUP(Tabulka591215273339455157636975[[#This Row],[Tým]],Tabulka381114263238445056626874[[Tým]:[Body]],6,FALSE)+Tabulka591215273339455157636975[[#This Row],[ ]]</f>
        <v>#N/A</v>
      </c>
      <c r="AK16" s="75" t="e">
        <f>VLOOKUP(Tabulka591215273339455157636975[[#This Row],[Tým]],Tabulka5912152733394551576369[[Tým]:[Body]],2,FALSE)</f>
        <v>#N/A</v>
      </c>
      <c r="AL16" s="82" t="e">
        <f>Tabulka591215273339455157636975[[#This Row],[Umístění]]</f>
        <v>#N/A</v>
      </c>
      <c r="AM16" s="15"/>
      <c r="AP16" s="1"/>
    </row>
    <row r="17" spans="2:42" ht="24.95" customHeight="1" x14ac:dyDescent="0.4">
      <c r="B17" s="6"/>
      <c r="C17" s="1" t="str">
        <f>IF(Tabulka171013253137434955616773[[#This Row],[ ]]="","",IF(Tabulka171013253137434955616773[[#This Row],[ ]]="NEÚČAST","",IF(OR(Tabulka171013253137434955616773[Výsledný čas]="N",Tabulka171013253137434955616773[Výsledný čas]="D"),$L$4-$L$5,_xlfn.RANK.EQ(Tabulka171013253137434955616773[[#This Row],[ ]],Tabulka171013253137434955616773[[ ]],1))))</f>
        <v/>
      </c>
      <c r="D17" s="12"/>
      <c r="E17" s="8"/>
      <c r="F17" s="8"/>
      <c r="G17" s="9" t="str">
        <f>IF(OR(Tabulka171013253137434955616773[[#This Row],[LP]]="N",Tabulka171013253137434955616773[[#This Row],[PP]]="N"),"N",IF(OR(Tabulka171013253137434955616773[[#This Row],[LP]]="D",Tabulka171013253137434955616773[[#This Row],[PP]]="D"),"D",IF(OR(Tabulka171013253137434955616773[[#This Row],[LP]]="NEÚČAST",Tabulka171013253137434955616773[[#This Row],[PP]]="NEÚČAST"),"NEÚČAST",IF(OR(Tabulka171013253137434955616773[[#This Row],[LP]]="",Tabulka171013253137434955616773[[#This Row],[PP]]=""),"",MAX(Tabulka171013253137434955616773[[#This Row],[LP]:[PP]])))))</f>
        <v/>
      </c>
      <c r="H17" s="1">
        <f>COUNTIF(Tabulka171013253137434955616773[[#This Row],[Tým]],"*")</f>
        <v>0</v>
      </c>
      <c r="I17" s="1">
        <f>COUNTIF(Tabulka171013253137434955616773[[#This Row],[Výsledný čas]],"NEÚČAST")</f>
        <v>0</v>
      </c>
      <c r="J17" s="1" t="str">
        <f>IF(Tabulka171013253137434955616773[[#This Row],[Výsledný čas]]="N",998,IF(Tabulka171013253137434955616773[[#This Row],[Výsledný čas]]="D",998,IF(Tabulka171013253137434955616773[[#This Row],[Výsledný čas]]="","",Tabulka171013253137434955616773[[#This Row],[Výsledný čas]])))</f>
        <v/>
      </c>
      <c r="P17" s="7"/>
      <c r="Q17" s="8"/>
      <c r="R17" s="8"/>
      <c r="Z17" s="31" t="e">
        <f>IF(OR(Tabulka381114263238445056626874[Výsledný čas]="N",Tabulka381114263238445056626874[Výsledný čas]="D",Tabulka381114263238445056626874[Výsledný čas]="NEÚČAST"),Uvod!$E$4,_xlfn.RANK.EQ(Tabulka381114263238445056626874[[#This Row],[ ]],Tabulka381114263238445056626874[[ ]],1))</f>
        <v>#N/A</v>
      </c>
      <c r="AA17" s="51" t="s">
        <v>25</v>
      </c>
      <c r="AB17" s="44" t="e">
        <f>VLOOKUP(Tabulka381114263238445056626874[[#This Row],[Tým]],Tabulka171013253137434955616773[[Tým]:[ ]],2,FALSE)</f>
        <v>#N/A</v>
      </c>
      <c r="AC17" s="44" t="e">
        <f>VLOOKUP(Tabulka381114263238445056626874[[#This Row],[Tým]],Tabulka171013253137434955616773[[Tým]:[ ]],3,FALSE)</f>
        <v>#N/A</v>
      </c>
      <c r="AD17" s="25" t="e">
        <f>VLOOKUP(Tabulka381114263238445056626874[[#This Row],[Tým]],Tabulka171013253137434955616773[[Tým]:[ ]],4,FALSE)</f>
        <v>#N/A</v>
      </c>
      <c r="AE17" s="25" t="e">
        <f>VLOOKUP(Tabulka381114263238445056626874[[#This Row],[Tým]],Tabulka171013253137434955616773[[Tým]:[ ]],7,FALSE)</f>
        <v>#N/A</v>
      </c>
      <c r="AF17" s="29" t="e">
        <f>IF(Tabulka381114263238445056626874[[#This Row],[Výsledný čas]]="N",5,IF(Tabulka381114263238445056626874[[#This Row],[Výsledný čas]]="D",0,IF(Tabulka381114263238445056626874[[#This Row],[Výsledný čas]]="NEÚČAST",0,Tabulka4[[#Totals],[Týmy muži]]+6-Tabulka381114263238445056626874[[#This Row],[Umístění]])))</f>
        <v>#N/A</v>
      </c>
      <c r="AH17" s="31" t="e">
        <f>_xlfn.RANK.EQ(Tabulka591215273339455157636975[[#This Row],[Body]],Tabulka591215273339455157636975[Body],0)</f>
        <v>#N/A</v>
      </c>
      <c r="AI17" s="51" t="s">
        <v>25</v>
      </c>
      <c r="AJ17" s="29" t="e">
        <f>VLOOKUP(Tabulka591215273339455157636975[[#This Row],[Tým]],Tabulka381114263238445056626874[[Tým]:[Body]],6,FALSE)+Tabulka591215273339455157636975[[#This Row],[ ]]</f>
        <v>#N/A</v>
      </c>
      <c r="AK17" s="75" t="e">
        <f>VLOOKUP(Tabulka591215273339455157636975[[#This Row],[Tým]],Tabulka5912152733394551576369[[Tým]:[Body]],2,FALSE)</f>
        <v>#N/A</v>
      </c>
      <c r="AL17" s="82" t="e">
        <f>Tabulka591215273339455157636975[[#This Row],[Umístění]]</f>
        <v>#N/A</v>
      </c>
      <c r="AM17" s="15"/>
      <c r="AP17" s="1"/>
    </row>
    <row r="18" spans="2:42" ht="24.95" customHeight="1" x14ac:dyDescent="0.4">
      <c r="B18" s="11"/>
      <c r="C18" s="1" t="str">
        <f>IF(Tabulka171013253137434955616773[[#This Row],[ ]]="","",IF(Tabulka171013253137434955616773[[#This Row],[ ]]="NEÚČAST","",IF(OR(Tabulka171013253137434955616773[Výsledný čas]="N",Tabulka171013253137434955616773[Výsledný čas]="D"),$L$4-$L$5,_xlfn.RANK.EQ(Tabulka171013253137434955616773[[#This Row],[ ]],Tabulka171013253137434955616773[[ ]],1))))</f>
        <v/>
      </c>
      <c r="D18" s="12"/>
      <c r="E18" s="8"/>
      <c r="F18" s="8"/>
      <c r="G18" s="9" t="str">
        <f>IF(OR(Tabulka171013253137434955616773[[#This Row],[LP]]="N",Tabulka171013253137434955616773[[#This Row],[PP]]="N"),"N",IF(OR(Tabulka171013253137434955616773[[#This Row],[LP]]="D",Tabulka171013253137434955616773[[#This Row],[PP]]="D"),"D",IF(OR(Tabulka171013253137434955616773[[#This Row],[LP]]="NEÚČAST",Tabulka171013253137434955616773[[#This Row],[PP]]="NEÚČAST"),"NEÚČAST",IF(OR(Tabulka171013253137434955616773[[#This Row],[LP]]="",Tabulka171013253137434955616773[[#This Row],[PP]]=""),"",MAX(Tabulka171013253137434955616773[[#This Row],[LP]:[PP]])))))</f>
        <v/>
      </c>
      <c r="H18" s="1">
        <f>COUNTIF(Tabulka171013253137434955616773[[#This Row],[Tým]],"*")</f>
        <v>0</v>
      </c>
      <c r="I18" s="1">
        <f>COUNTIF(Tabulka171013253137434955616773[[#This Row],[Výsledný čas]],"NEÚČAST")</f>
        <v>0</v>
      </c>
      <c r="J18" s="1" t="str">
        <f>IF(Tabulka171013253137434955616773[[#This Row],[Výsledný čas]]="N",998,IF(Tabulka171013253137434955616773[[#This Row],[Výsledný čas]]="D",998,IF(Tabulka171013253137434955616773[[#This Row],[Výsledný čas]]="","",Tabulka171013253137434955616773[[#This Row],[Výsledný čas]])))</f>
        <v/>
      </c>
      <c r="P18" s="7"/>
      <c r="Q18" s="8"/>
      <c r="R18" s="8"/>
      <c r="Z18" s="31" t="e">
        <f>IF(OR(Tabulka381114263238445056626874[Výsledný čas]="N",Tabulka381114263238445056626874[Výsledný čas]="D",Tabulka381114263238445056626874[Výsledný čas]="NEÚČAST"),Uvod!$E$4,_xlfn.RANK.EQ(Tabulka381114263238445056626874[[#This Row],[ ]],Tabulka381114263238445056626874[[ ]],1))</f>
        <v>#N/A</v>
      </c>
      <c r="AA18" s="51" t="s">
        <v>14</v>
      </c>
      <c r="AB18" s="44" t="e">
        <f>VLOOKUP(Tabulka381114263238445056626874[[#This Row],[Tým]],Tabulka171013253137434955616773[[Tým]:[ ]],2,FALSE)</f>
        <v>#N/A</v>
      </c>
      <c r="AC18" s="44" t="e">
        <f>VLOOKUP(Tabulka381114263238445056626874[[#This Row],[Tým]],Tabulka171013253137434955616773[[Tým]:[ ]],3,FALSE)</f>
        <v>#N/A</v>
      </c>
      <c r="AD18" s="25" t="e">
        <f>VLOOKUP(Tabulka381114263238445056626874[[#This Row],[Tým]],Tabulka171013253137434955616773[[Tým]:[ ]],4,FALSE)</f>
        <v>#N/A</v>
      </c>
      <c r="AE18" s="25" t="e">
        <f>VLOOKUP(Tabulka381114263238445056626874[[#This Row],[Tým]],Tabulka171013253137434955616773[[Tým]:[ ]],7,FALSE)</f>
        <v>#N/A</v>
      </c>
      <c r="AF18" s="29" t="e">
        <f>IF(Tabulka381114263238445056626874[[#This Row],[Výsledný čas]]="N",5,IF(Tabulka381114263238445056626874[[#This Row],[Výsledný čas]]="D",0,IF(Tabulka381114263238445056626874[[#This Row],[Výsledný čas]]="NEÚČAST",0,Tabulka4[[#Totals],[Týmy muži]]+6-Tabulka381114263238445056626874[[#This Row],[Umístění]])))</f>
        <v>#N/A</v>
      </c>
      <c r="AH18" s="31" t="e">
        <f>_xlfn.RANK.EQ(Tabulka591215273339455157636975[[#This Row],[Body]],Tabulka591215273339455157636975[Body],0)</f>
        <v>#N/A</v>
      </c>
      <c r="AI18" s="51" t="s">
        <v>14</v>
      </c>
      <c r="AJ18" s="29" t="e">
        <f>VLOOKUP(Tabulka591215273339455157636975[[#This Row],[Tým]],Tabulka381114263238445056626874[[Tým]:[Body]],6,FALSE)+Tabulka591215273339455157636975[[#This Row],[ ]]</f>
        <v>#N/A</v>
      </c>
      <c r="AK18" s="75" t="e">
        <f>VLOOKUP(Tabulka591215273339455157636975[[#This Row],[Tým]],Tabulka5912152733394551576369[[Tým]:[Body]],2,FALSE)</f>
        <v>#N/A</v>
      </c>
      <c r="AL18" s="82" t="e">
        <f>Tabulka591215273339455157636975[[#This Row],[Umístění]]</f>
        <v>#N/A</v>
      </c>
      <c r="AM18" s="15"/>
      <c r="AP18" s="1"/>
    </row>
    <row r="19" spans="2:42" ht="24.95" customHeight="1" x14ac:dyDescent="0.4">
      <c r="B19" s="6"/>
      <c r="C19" s="1" t="str">
        <f>IF(Tabulka171013253137434955616773[[#This Row],[ ]]="","",IF(Tabulka171013253137434955616773[[#This Row],[ ]]="NEÚČAST","",IF(OR(Tabulka171013253137434955616773[Výsledný čas]="N",Tabulka171013253137434955616773[Výsledný čas]="D"),$L$4-$L$5,_xlfn.RANK.EQ(Tabulka171013253137434955616773[[#This Row],[ ]],Tabulka171013253137434955616773[[ ]],1))))</f>
        <v/>
      </c>
      <c r="D19" s="7"/>
      <c r="E19" s="8"/>
      <c r="F19" s="8"/>
      <c r="G19" s="9" t="str">
        <f>IF(OR(Tabulka171013253137434955616773[[#This Row],[LP]]="N",Tabulka171013253137434955616773[[#This Row],[PP]]="N"),"N",IF(OR(Tabulka171013253137434955616773[[#This Row],[LP]]="D",Tabulka171013253137434955616773[[#This Row],[PP]]="D"),"D",IF(OR(Tabulka171013253137434955616773[[#This Row],[LP]]="NEÚČAST",Tabulka171013253137434955616773[[#This Row],[PP]]="NEÚČAST"),"NEÚČAST",IF(OR(Tabulka171013253137434955616773[[#This Row],[LP]]="",Tabulka171013253137434955616773[[#This Row],[PP]]=""),"",MAX(Tabulka171013253137434955616773[[#This Row],[LP]:[PP]])))))</f>
        <v/>
      </c>
      <c r="H19" s="1">
        <f>COUNTIF(Tabulka171013253137434955616773[[#This Row],[Tým]],"*")</f>
        <v>0</v>
      </c>
      <c r="I19" s="1">
        <f>COUNTIF(Tabulka171013253137434955616773[[#This Row],[Výsledný čas]],"NEÚČAST")</f>
        <v>0</v>
      </c>
      <c r="J19" s="1" t="str">
        <f>IF(Tabulka171013253137434955616773[[#This Row],[Výsledný čas]]="N",998,IF(Tabulka171013253137434955616773[[#This Row],[Výsledný čas]]="D",998,IF(Tabulka171013253137434955616773[[#This Row],[Výsledný čas]]="","",Tabulka171013253137434955616773[[#This Row],[Výsledný čas]])))</f>
        <v/>
      </c>
      <c r="N19" s="68"/>
      <c r="P19" s="10"/>
      <c r="Q19" s="8"/>
      <c r="R19" s="8"/>
      <c r="Z19" s="31" t="e">
        <f>IF(OR(Tabulka381114263238445056626874[Výsledný čas]="N",Tabulka381114263238445056626874[Výsledný čas]="D",Tabulka381114263238445056626874[Výsledný čas]="NEÚČAST"),Uvod!$E$4,_xlfn.RANK.EQ(Tabulka381114263238445056626874[[#This Row],[ ]],Tabulka381114263238445056626874[[ ]],1))</f>
        <v>#N/A</v>
      </c>
      <c r="AA19" s="97" t="s">
        <v>33</v>
      </c>
      <c r="AB19" s="44" t="e">
        <f>VLOOKUP(Tabulka381114263238445056626874[[#This Row],[Tým]],Tabulka171013253137434955616773[[Tým]:[ ]],2,FALSE)</f>
        <v>#N/A</v>
      </c>
      <c r="AC19" s="44" t="e">
        <f>VLOOKUP(Tabulka381114263238445056626874[[#This Row],[Tým]],Tabulka171013253137434955616773[[Tým]:[ ]],3,FALSE)</f>
        <v>#N/A</v>
      </c>
      <c r="AD19" s="25" t="e">
        <f>VLOOKUP(Tabulka381114263238445056626874[[#This Row],[Tým]],Tabulka171013253137434955616773[[Tým]:[ ]],4,FALSE)</f>
        <v>#N/A</v>
      </c>
      <c r="AE19" s="25" t="e">
        <f>VLOOKUP(Tabulka381114263238445056626874[[#This Row],[Tým]],Tabulka171013253137434955616773[[Tým]:[ ]],7,FALSE)</f>
        <v>#N/A</v>
      </c>
      <c r="AF19" s="29" t="e">
        <f>IF(Tabulka381114263238445056626874[[#This Row],[Výsledný čas]]="N",5,IF(Tabulka381114263238445056626874[[#This Row],[Výsledný čas]]="D",0,IF(Tabulka381114263238445056626874[[#This Row],[Výsledný čas]]="NEÚČAST",0,Tabulka4[[#Totals],[Týmy muži]]+6-Tabulka381114263238445056626874[[#This Row],[Umístění]])))</f>
        <v>#N/A</v>
      </c>
      <c r="AH19" s="31" t="e">
        <f>_xlfn.RANK.EQ(Tabulka591215273339455157636975[[#This Row],[Body]],Tabulka591215273339455157636975[Body],0)</f>
        <v>#N/A</v>
      </c>
      <c r="AI19" s="97" t="s">
        <v>33</v>
      </c>
      <c r="AJ19" s="29" t="e">
        <f>VLOOKUP(Tabulka591215273339455157636975[[#This Row],[Tým]],Tabulka381114263238445056626874[[Tým]:[Body]],6,FALSE)+Tabulka591215273339455157636975[[#This Row],[ ]]</f>
        <v>#N/A</v>
      </c>
      <c r="AK19" s="75" t="e">
        <f>VLOOKUP(Tabulka591215273339455157636975[[#This Row],[Tým]],Tabulka5912152733394551576369[[Tým]:[Body]],2,FALSE)</f>
        <v>#N/A</v>
      </c>
      <c r="AL19" s="82" t="e">
        <f>Tabulka591215273339455157636975[[#This Row],[Umístění]]</f>
        <v>#N/A</v>
      </c>
      <c r="AM19" s="15"/>
      <c r="AP19" s="1"/>
    </row>
    <row r="20" spans="2:42" ht="24.95" customHeight="1" x14ac:dyDescent="0.4">
      <c r="B20" s="11"/>
      <c r="C20" s="1" t="str">
        <f>IF(Tabulka171013253137434955616773[[#This Row],[ ]]="","",IF(Tabulka171013253137434955616773[[#This Row],[ ]]="NEÚČAST","",IF(OR(Tabulka171013253137434955616773[Výsledný čas]="N",Tabulka171013253137434955616773[Výsledný čas]="D"),$L$4-$L$5,_xlfn.RANK.EQ(Tabulka171013253137434955616773[[#This Row],[ ]],Tabulka171013253137434955616773[[ ]],1))))</f>
        <v/>
      </c>
      <c r="D20" s="7"/>
      <c r="E20" s="8"/>
      <c r="F20" s="8"/>
      <c r="G20" s="9" t="str">
        <f>IF(OR(Tabulka171013253137434955616773[[#This Row],[LP]]="N",Tabulka171013253137434955616773[[#This Row],[PP]]="N"),"N",IF(OR(Tabulka171013253137434955616773[[#This Row],[LP]]="D",Tabulka171013253137434955616773[[#This Row],[PP]]="D"),"D",IF(OR(Tabulka171013253137434955616773[[#This Row],[LP]]="NEÚČAST",Tabulka171013253137434955616773[[#This Row],[PP]]="NEÚČAST"),"NEÚČAST",IF(OR(Tabulka171013253137434955616773[[#This Row],[LP]]="",Tabulka171013253137434955616773[[#This Row],[PP]]=""),"",MAX(Tabulka171013253137434955616773[[#This Row],[LP]:[PP]])))))</f>
        <v/>
      </c>
      <c r="H20" s="1">
        <f>COUNTIF(Tabulka171013253137434955616773[[#This Row],[Tým]],"*")</f>
        <v>0</v>
      </c>
      <c r="I20" s="1">
        <f>COUNTIF(Tabulka171013253137434955616773[[#This Row],[Výsledný čas]],"NEÚČAST")</f>
        <v>0</v>
      </c>
      <c r="J20" s="1" t="str">
        <f>IF(Tabulka171013253137434955616773[[#This Row],[Výsledný čas]]="N",998,IF(Tabulka171013253137434955616773[[#This Row],[Výsledný čas]]="D",998,IF(Tabulka171013253137434955616773[[#This Row],[Výsledný čas]]="","",Tabulka171013253137434955616773[[#This Row],[Výsledný čas]])))</f>
        <v/>
      </c>
      <c r="N20" s="70"/>
      <c r="P20" s="10"/>
      <c r="Q20" s="8"/>
      <c r="R20" s="8"/>
      <c r="Z20" s="31" t="e">
        <f>IF(OR(Tabulka381114263238445056626874[Výsledný čas]="N",Tabulka381114263238445056626874[Výsledný čas]="D",Tabulka381114263238445056626874[Výsledný čas]="NEÚČAST"),Uvod!$E$4,_xlfn.RANK.EQ(Tabulka381114263238445056626874[[#This Row],[ ]],Tabulka381114263238445056626874[[ ]],1))</f>
        <v>#N/A</v>
      </c>
      <c r="AA20" s="97" t="s">
        <v>17</v>
      </c>
      <c r="AB20" s="44" t="e">
        <f>VLOOKUP(Tabulka381114263238445056626874[[#This Row],[Tým]],Tabulka171013253137434955616773[[Tým]:[ ]],2,FALSE)</f>
        <v>#N/A</v>
      </c>
      <c r="AC20" s="44" t="e">
        <f>VLOOKUP(Tabulka381114263238445056626874[[#This Row],[Tým]],Tabulka171013253137434955616773[[Tým]:[ ]],3,FALSE)</f>
        <v>#N/A</v>
      </c>
      <c r="AD20" s="25" t="e">
        <f>VLOOKUP(Tabulka381114263238445056626874[[#This Row],[Tým]],Tabulka171013253137434955616773[[Tým]:[ ]],4,FALSE)</f>
        <v>#N/A</v>
      </c>
      <c r="AE20" s="25" t="e">
        <f>VLOOKUP(Tabulka381114263238445056626874[[#This Row],[Tým]],Tabulka171013253137434955616773[[Tým]:[ ]],7,FALSE)</f>
        <v>#N/A</v>
      </c>
      <c r="AF20" s="29" t="e">
        <f>IF(Tabulka381114263238445056626874[[#This Row],[Výsledný čas]]="N",5,IF(Tabulka381114263238445056626874[[#This Row],[Výsledný čas]]="D",0,IF(Tabulka381114263238445056626874[[#This Row],[Výsledný čas]]="NEÚČAST",0,Tabulka4[[#Totals],[Týmy muži]]+6-Tabulka381114263238445056626874[[#This Row],[Umístění]])))</f>
        <v>#N/A</v>
      </c>
      <c r="AH20" s="31" t="e">
        <f>_xlfn.RANK.EQ(Tabulka591215273339455157636975[[#This Row],[Body]],Tabulka591215273339455157636975[Body],0)</f>
        <v>#N/A</v>
      </c>
      <c r="AI20" s="97" t="s">
        <v>17</v>
      </c>
      <c r="AJ20" s="29" t="e">
        <f>VLOOKUP(Tabulka591215273339455157636975[[#This Row],[Tým]],Tabulka381114263238445056626874[[Tým]:[Body]],6,FALSE)+Tabulka591215273339455157636975[[#This Row],[ ]]</f>
        <v>#N/A</v>
      </c>
      <c r="AK20" s="75" t="e">
        <f>VLOOKUP(Tabulka591215273339455157636975[[#This Row],[Tým]],Tabulka5912152733394551576369[[Tým]:[Body]],2,FALSE)</f>
        <v>#N/A</v>
      </c>
      <c r="AL20" s="114" t="e">
        <f>Tabulka591215273339455157636975[[#This Row],[Umístění]]</f>
        <v>#N/A</v>
      </c>
      <c r="AM20" s="15"/>
      <c r="AP20" s="1"/>
    </row>
    <row r="21" spans="2:42" ht="24.95" customHeight="1" thickBot="1" x14ac:dyDescent="0.45">
      <c r="B21" s="6"/>
      <c r="C21" s="1" t="str">
        <f>IF(Tabulka171013253137434955616773[[#This Row],[ ]]="","",IF(Tabulka171013253137434955616773[[#This Row],[ ]]="NEÚČAST","",IF(OR(Tabulka171013253137434955616773[Výsledný čas]="N",Tabulka171013253137434955616773[Výsledný čas]="D"),$L$4-$L$5,_xlfn.RANK.EQ(Tabulka171013253137434955616773[[#This Row],[ ]],Tabulka171013253137434955616773[[ ]],1))))</f>
        <v/>
      </c>
      <c r="D21" s="7"/>
      <c r="E21" s="13"/>
      <c r="F21" s="8"/>
      <c r="G21" s="9" t="str">
        <f>IF(OR(Tabulka171013253137434955616773[[#This Row],[LP]]="N",Tabulka171013253137434955616773[[#This Row],[PP]]="N"),"N",IF(OR(Tabulka171013253137434955616773[[#This Row],[LP]]="D",Tabulka171013253137434955616773[[#This Row],[PP]]="D"),"D",IF(OR(Tabulka171013253137434955616773[[#This Row],[LP]]="NEÚČAST",Tabulka171013253137434955616773[[#This Row],[PP]]="NEÚČAST"),"NEÚČAST",IF(OR(Tabulka171013253137434955616773[[#This Row],[LP]]="",Tabulka171013253137434955616773[[#This Row],[PP]]=""),"",MAX(Tabulka171013253137434955616773[[#This Row],[LP]:[PP]])))))</f>
        <v/>
      </c>
      <c r="H21" s="1">
        <f>COUNTIF(Tabulka171013253137434955616773[[#This Row],[Tým]],"*")</f>
        <v>0</v>
      </c>
      <c r="I21" s="1">
        <f>COUNTIF(Tabulka171013253137434955616773[[#This Row],[Výsledný čas]],"NEÚČAST")</f>
        <v>0</v>
      </c>
      <c r="J21" s="1" t="str">
        <f>IF(Tabulka171013253137434955616773[[#This Row],[Výsledný čas]]="N",998,IF(Tabulka171013253137434955616773[[#This Row],[Výsledný čas]]="D",998,IF(Tabulka171013253137434955616773[[#This Row],[Výsledný čas]]="","",Tabulka171013253137434955616773[[#This Row],[Výsledný čas]])))</f>
        <v/>
      </c>
      <c r="P21" s="10"/>
      <c r="Q21" s="8"/>
      <c r="R21" s="8"/>
      <c r="Z21" s="31" t="e">
        <f>IF(OR(Tabulka381114263238445056626874[Výsledný čas]="N",Tabulka381114263238445056626874[Výsledný čas]="D",Tabulka381114263238445056626874[Výsledný čas]="NEÚČAST"),Uvod!$E$4,_xlfn.RANK.EQ(Tabulka381114263238445056626874[[#This Row],[ ]],Tabulka381114263238445056626874[[ ]],1))</f>
        <v>#N/A</v>
      </c>
      <c r="AA21" s="51" t="s">
        <v>24</v>
      </c>
      <c r="AB21" s="44" t="e">
        <f>VLOOKUP(Tabulka381114263238445056626874[[#This Row],[Tým]],Tabulka171013253137434955616773[[Tým]:[ ]],2,FALSE)</f>
        <v>#N/A</v>
      </c>
      <c r="AC21" s="44" t="e">
        <f>VLOOKUP(Tabulka381114263238445056626874[[#This Row],[Tým]],Tabulka171013253137434955616773[[Tým]:[ ]],3,FALSE)</f>
        <v>#N/A</v>
      </c>
      <c r="AD21" s="25" t="e">
        <f>VLOOKUP(Tabulka381114263238445056626874[[#This Row],[Tým]],Tabulka171013253137434955616773[[Tým]:[ ]],4,FALSE)</f>
        <v>#N/A</v>
      </c>
      <c r="AE21" s="25" t="e">
        <f>VLOOKUP(Tabulka381114263238445056626874[[#This Row],[Tým]],Tabulka171013253137434955616773[[Tým]:[ ]],7,FALSE)</f>
        <v>#N/A</v>
      </c>
      <c r="AF21" s="29" t="e">
        <f>IF(Tabulka381114263238445056626874[[#This Row],[Výsledný čas]]="N",5,IF(Tabulka381114263238445056626874[[#This Row],[Výsledný čas]]="D",0,IF(Tabulka381114263238445056626874[[#This Row],[Výsledný čas]]="NEÚČAST",0,Tabulka4[[#Totals],[Týmy muži]]+6-Tabulka381114263238445056626874[[#This Row],[Umístění]])))</f>
        <v>#N/A</v>
      </c>
      <c r="AH21" s="33" t="e">
        <f>_xlfn.RANK.EQ(Tabulka591215273339455157636975[[#This Row],[Body]],Tabulka591215273339455157636975[Body],0)</f>
        <v>#N/A</v>
      </c>
      <c r="AI21" s="62" t="s">
        <v>24</v>
      </c>
      <c r="AJ21" s="36" t="e">
        <f>VLOOKUP(Tabulka591215273339455157636975[[#This Row],[Tým]],Tabulka381114263238445056626874[[Tým]:[Body]],6,FALSE)+Tabulka591215273339455157636975[[#This Row],[ ]]</f>
        <v>#N/A</v>
      </c>
      <c r="AK21" s="75" t="e">
        <f>VLOOKUP(Tabulka591215273339455157636975[[#This Row],[Tým]],Tabulka5912152733394551576369[[Tým]:[Body]],2,FALSE)</f>
        <v>#N/A</v>
      </c>
      <c r="AL21" s="82" t="e">
        <f>Tabulka591215273339455157636975[[#This Row],[Umístění]]</f>
        <v>#N/A</v>
      </c>
    </row>
    <row r="22" spans="2:42" ht="24.95" customHeight="1" thickBot="1" x14ac:dyDescent="0.45">
      <c r="B22" s="6"/>
      <c r="C22" s="1" t="str">
        <f>IF(Tabulka171013253137434955616773[[#This Row],[ ]]="","",IF(Tabulka171013253137434955616773[[#This Row],[ ]]="NEÚČAST","",IF(OR(Tabulka171013253137434955616773[Výsledný čas]="N",Tabulka171013253137434955616773[Výsledný čas]="D"),$L$4-$L$5,_xlfn.RANK.EQ(Tabulka171013253137434955616773[[#This Row],[ ]],Tabulka171013253137434955616773[[ ]],1))))</f>
        <v/>
      </c>
      <c r="D22" s="7"/>
      <c r="E22" s="8"/>
      <c r="F22" s="8"/>
      <c r="G22" s="9" t="str">
        <f>IF(OR(Tabulka171013253137434955616773[[#This Row],[LP]]="N",Tabulka171013253137434955616773[[#This Row],[PP]]="N"),"N",IF(OR(Tabulka171013253137434955616773[[#This Row],[LP]]="D",Tabulka171013253137434955616773[[#This Row],[PP]]="D"),"D",IF(OR(Tabulka171013253137434955616773[[#This Row],[LP]]="NEÚČAST",Tabulka171013253137434955616773[[#This Row],[PP]]="NEÚČAST"),"NEÚČAST",IF(OR(Tabulka171013253137434955616773[[#This Row],[LP]]="",Tabulka171013253137434955616773[[#This Row],[PP]]=""),"",MAX(Tabulka171013253137434955616773[[#This Row],[LP]:[PP]])))))</f>
        <v/>
      </c>
      <c r="H22" s="1">
        <f>COUNTIF(Tabulka171013253137434955616773[[#This Row],[Tým]],"*")</f>
        <v>0</v>
      </c>
      <c r="I22" s="1">
        <f>COUNTIF(Tabulka171013253137434955616773[[#This Row],[Výsledný čas]],"NEÚČAST")</f>
        <v>0</v>
      </c>
      <c r="J22" s="1" t="str">
        <f>IF(Tabulka171013253137434955616773[[#This Row],[Výsledný čas]]="N",998,IF(Tabulka171013253137434955616773[[#This Row],[Výsledný čas]]="D",998,IF(Tabulka171013253137434955616773[[#This Row],[Výsledný čas]]="","",Tabulka171013253137434955616773[[#This Row],[Výsledný čas]])))</f>
        <v/>
      </c>
      <c r="P22" s="10"/>
      <c r="Q22" s="8"/>
      <c r="R22" s="8"/>
      <c r="Z22" s="33" t="e">
        <f>IF(OR(Tabulka381114263238445056626874[Výsledný čas]="N",Tabulka381114263238445056626874[Výsledný čas]="D",Tabulka381114263238445056626874[Výsledný čas]="NEÚČAST"),Uvod!$E$4,_xlfn.RANK.EQ(Tabulka381114263238445056626874[[#This Row],[ ]],Tabulka381114263238445056626874[[ ]],1))</f>
        <v>#N/A</v>
      </c>
      <c r="AA22" s="98" t="s">
        <v>13</v>
      </c>
      <c r="AB22" s="45" t="e">
        <f>VLOOKUP(Tabulka381114263238445056626874[[#This Row],[Tým]],Tabulka171013253137434955616773[[Tým]:[ ]],2,FALSE)</f>
        <v>#N/A</v>
      </c>
      <c r="AC22" s="45" t="e">
        <f>VLOOKUP(Tabulka381114263238445056626874[[#This Row],[Tým]],Tabulka171013253137434955616773[[Tým]:[ ]],3,FALSE)</f>
        <v>#N/A</v>
      </c>
      <c r="AD22" s="34" t="e">
        <f>VLOOKUP(Tabulka381114263238445056626874[[#This Row],[Tým]],Tabulka171013253137434955616773[[Tým]:[ ]],4,FALSE)</f>
        <v>#N/A</v>
      </c>
      <c r="AE22" s="34" t="e">
        <f>VLOOKUP(Tabulka381114263238445056626874[[#This Row],[Tým]],Tabulka171013253137434955616773[[Tým]:[ ]],7,FALSE)</f>
        <v>#N/A</v>
      </c>
      <c r="AF22" s="36" t="e">
        <f>IF(Tabulka381114263238445056626874[[#This Row],[Výsledný čas]]="N",5,IF(Tabulka381114263238445056626874[[#This Row],[Výsledný čas]]="D",0,IF(Tabulka381114263238445056626874[[#This Row],[Výsledný čas]]="NEÚČAST",0,Tabulka4[[#Totals],[Týmy muži]]+6-Tabulka381114263238445056626874[[#This Row],[Umístění]])))</f>
        <v>#N/A</v>
      </c>
      <c r="AH22" s="117" t="e">
        <f>_xlfn.RANK.EQ(Tabulka591215273339455157636975[[#This Row],[Body]],Tabulka591215273339455157636975[Body],0)</f>
        <v>#N/A</v>
      </c>
      <c r="AI22" s="118" t="s">
        <v>13</v>
      </c>
      <c r="AJ22" s="119" t="e">
        <f>VLOOKUP(Tabulka591215273339455157636975[[#This Row],[Tým]],Tabulka381114263238445056626874[[Tým]:[Body]],6,FALSE)+Tabulka591215273339455157636975[[#This Row],[ ]]</f>
        <v>#N/A</v>
      </c>
      <c r="AK22" s="41" t="e">
        <f>VLOOKUP(Tabulka591215273339455157636975[[#This Row],[Tým]],Tabulka5912152733394551576369[[Tým]:[Body]],2,FALSE)</f>
        <v>#N/A</v>
      </c>
      <c r="AL22" s="82" t="e">
        <f>Tabulka591215273339455157636975[[#This Row],[Umístění]]</f>
        <v>#N/A</v>
      </c>
    </row>
    <row r="23" spans="2:42" ht="24.95" customHeight="1" x14ac:dyDescent="0.4">
      <c r="B23" s="68"/>
      <c r="D23" s="14"/>
      <c r="E23" s="8"/>
      <c r="F23" s="8"/>
      <c r="P23" s="10"/>
      <c r="Q23" s="8"/>
      <c r="R23" s="8"/>
      <c r="AB23" s="3"/>
      <c r="AC23" s="3"/>
      <c r="AL23" s="15"/>
    </row>
    <row r="24" spans="2:42" ht="24.95" customHeight="1" thickBot="1" x14ac:dyDescent="0.45">
      <c r="B24" s="70"/>
      <c r="D24" s="7"/>
      <c r="E24" s="8"/>
      <c r="F24" s="8"/>
      <c r="N24" s="68"/>
      <c r="P24" s="7"/>
      <c r="Q24" s="8"/>
      <c r="R24" s="8"/>
      <c r="AB24" s="3"/>
      <c r="AC24" s="3"/>
      <c r="AL24" s="15"/>
    </row>
    <row r="25" spans="2:42" ht="24.95" customHeight="1" x14ac:dyDescent="0.4">
      <c r="D25" s="16"/>
      <c r="N25" s="70"/>
      <c r="P25" s="7"/>
      <c r="Q25" s="8"/>
      <c r="R25" s="8"/>
      <c r="Z25" s="308" t="str">
        <f>N2</f>
        <v xml:space="preserve">Výsledky - Soutěže 11. kola NHHL 8.9. 2023 Služovice - ŽENY </v>
      </c>
      <c r="AA25" s="309"/>
      <c r="AB25" s="309"/>
      <c r="AC25" s="309"/>
      <c r="AD25" s="309"/>
      <c r="AE25" s="309"/>
      <c r="AF25" s="310"/>
      <c r="AH25" s="308" t="s">
        <v>140</v>
      </c>
      <c r="AI25" s="309"/>
      <c r="AJ25" s="309"/>
      <c r="AK25" s="310"/>
      <c r="AL25" s="15"/>
    </row>
    <row r="26" spans="2:42" ht="24.95" customHeight="1" thickBot="1" x14ac:dyDescent="0.45">
      <c r="D26" s="16"/>
      <c r="P26" s="7"/>
      <c r="Q26" s="8"/>
      <c r="R26" s="8"/>
      <c r="Z26" s="58" t="s">
        <v>1</v>
      </c>
      <c r="AA26" s="59" t="s">
        <v>2</v>
      </c>
      <c r="AB26" s="59" t="s">
        <v>3</v>
      </c>
      <c r="AC26" s="59" t="s">
        <v>4</v>
      </c>
      <c r="AD26" s="59" t="s">
        <v>5</v>
      </c>
      <c r="AE26" s="59" t="s">
        <v>27</v>
      </c>
      <c r="AF26" s="60" t="s">
        <v>7</v>
      </c>
      <c r="AH26" s="58" t="s">
        <v>1</v>
      </c>
      <c r="AI26" s="59" t="s">
        <v>2</v>
      </c>
      <c r="AJ26" s="59" t="s">
        <v>7</v>
      </c>
      <c r="AK26" s="29" t="s">
        <v>27</v>
      </c>
      <c r="AL26" s="94" t="s">
        <v>73</v>
      </c>
      <c r="AM26" s="15"/>
      <c r="AP26" s="1"/>
    </row>
    <row r="27" spans="2:42" ht="24.95" customHeight="1" x14ac:dyDescent="0.4">
      <c r="D27" s="16"/>
      <c r="P27" s="7"/>
      <c r="Q27" s="8"/>
      <c r="R27" s="8"/>
      <c r="Z27" s="77" t="e">
        <f>IF(OR(Tabulka3811142283440465258647076[Výsledný čas]="N",Tabulka3811142283440465258647076[Výsledný čas]="D",Tabulka3811142283440465258647076[Výsledný čas]="NEÚČAST"),Uvod!$E$6,_xlfn.RANK.EQ(Tabulka3811142283440465258647076[[#This Row],[ ]],Tabulka3811142283440465258647076[[ ]],1))</f>
        <v>#N/A</v>
      </c>
      <c r="AA27" s="78" t="s">
        <v>34</v>
      </c>
      <c r="AB27" s="79" t="e">
        <f>VLOOKUP(Tabulka3811142283440465258647076[[#This Row],[Tým]],Tabulka1710136303642485460667278[[Tým]:[ ]],2,FALSE)</f>
        <v>#N/A</v>
      </c>
      <c r="AC27" s="79" t="e">
        <f>VLOOKUP(Tabulka3811142283440465258647076[[#This Row],[Tým]],Tabulka1710136303642485460667278[[Tým]:[ ]],3,FALSE)</f>
        <v>#N/A</v>
      </c>
      <c r="AD27" s="80" t="e">
        <f>VLOOKUP(Tabulka3811142283440465258647076[[#This Row],[Tým]],Tabulka1710136303642485460667278[[Tým]:[ ]],4,FALSE)</f>
        <v>#N/A</v>
      </c>
      <c r="AE27" s="80" t="e">
        <f>VLOOKUP(Tabulka3811142283440465258647076[[#This Row],[Tým]],Tabulka1710136303642485460667278[[Tým]:[ ]],7,FALSE)</f>
        <v>#N/A</v>
      </c>
      <c r="AF27" s="81" t="e">
        <f>IF(Tabulka3811142283440465258647076[[#This Row],[Výsledný čas]]="N",5,IF(Tabulka3811142283440465258647076[[#This Row],[Výsledný čas]]="D",0,IF(Tabulka3811142283440465258647076[[#This Row],[Výsledný čas]]="NEÚČAST",0,Tabulka8[[#Totals],[Týmy ženy]]+6-Tabulka3811142283440465258647076[[#This Row],[Umístění]])))</f>
        <v>#N/A</v>
      </c>
      <c r="AH27" s="77" t="e">
        <f>_xlfn.RANK.EQ(Tabulka5912153293541475359657177[[#This Row],[Body]],Tabulka5912153293541475359657177[Body],0)</f>
        <v>#N/A</v>
      </c>
      <c r="AI27" s="78" t="s">
        <v>34</v>
      </c>
      <c r="AJ27" s="81" t="e">
        <f>VLOOKUP(Tabulka5912153293541475359657177[[#This Row],[Tým]],Tabulka3811142283440465258647076[[Tým]:[Body]],6,FALSE)+Tabulka5912153293541475359657177[[#This Row],[ ]]</f>
        <v>#N/A</v>
      </c>
      <c r="AK27" s="75" t="e">
        <f>VLOOKUP(Tabulka5912153293541475359657177[[#This Row],[Tým]],Tabulka59121532935414753596571[[Tým]:[Body]],2,FALSE)</f>
        <v>#N/A</v>
      </c>
      <c r="AL27" s="92" t="e">
        <f>Tabulka5912153293541475359657177[[#This Row],[Umístění]]</f>
        <v>#N/A</v>
      </c>
      <c r="AM27" s="15"/>
      <c r="AP27" s="1"/>
    </row>
    <row r="28" spans="2:42" ht="24.95" customHeight="1" x14ac:dyDescent="0.4">
      <c r="D28" s="16"/>
      <c r="P28" s="7"/>
      <c r="Q28" s="8"/>
      <c r="R28" s="8"/>
      <c r="Z28" s="31" t="e">
        <f>IF(OR(Tabulka3811142283440465258647076[Výsledný čas]="N",Tabulka3811142283440465258647076[Výsledný čas]="D",Tabulka3811142283440465258647076[Výsledný čas]="NEÚČAST"),Uvod!$E$6,_xlfn.RANK.EQ(Tabulka3811142283440465258647076[[#This Row],[ ]],Tabulka3811142283440465258647076[[ ]],1))</f>
        <v>#N/A</v>
      </c>
      <c r="AA28" s="51" t="s">
        <v>35</v>
      </c>
      <c r="AB28" s="44" t="e">
        <f>VLOOKUP(Tabulka3811142283440465258647076[[#This Row],[Tým]],Tabulka1710136303642485460667278[[Tým]:[ ]],2,FALSE)</f>
        <v>#N/A</v>
      </c>
      <c r="AC28" s="44" t="e">
        <f>VLOOKUP(Tabulka3811142283440465258647076[[#This Row],[Tým]],Tabulka1710136303642485460667278[[Tým]:[ ]],3,FALSE)</f>
        <v>#N/A</v>
      </c>
      <c r="AD28" s="25" t="e">
        <f>VLOOKUP(Tabulka3811142283440465258647076[[#This Row],[Tým]],Tabulka1710136303642485460667278[[Tým]:[ ]],4,FALSE)</f>
        <v>#N/A</v>
      </c>
      <c r="AE28" s="25" t="e">
        <f>VLOOKUP(Tabulka3811142283440465258647076[[#This Row],[Tým]],Tabulka1710136303642485460667278[[Tým]:[ ]],7,FALSE)</f>
        <v>#N/A</v>
      </c>
      <c r="AF28" s="29" t="e">
        <f>IF(Tabulka3811142283440465258647076[[#This Row],[Výsledný čas]]="N",5,IF(Tabulka3811142283440465258647076[[#This Row],[Výsledný čas]]="D",0,IF(Tabulka3811142283440465258647076[[#This Row],[Výsledný čas]]="NEÚČAST",0,Tabulka8[[#Totals],[Týmy ženy]]+6-Tabulka3811142283440465258647076[[#This Row],[Umístění]])))</f>
        <v>#N/A</v>
      </c>
      <c r="AH28" s="31" t="e">
        <f>_xlfn.RANK.EQ(Tabulka5912153293541475359657177[[#This Row],[Body]],Tabulka5912153293541475359657177[Body],0)</f>
        <v>#N/A</v>
      </c>
      <c r="AI28" s="51" t="s">
        <v>35</v>
      </c>
      <c r="AJ28" s="29" t="e">
        <f>VLOOKUP(Tabulka5912153293541475359657177[[#This Row],[Tým]],Tabulka3811142283440465258647076[[Tým]:[Body]],6,FALSE)+Tabulka5912153293541475359657177[[#This Row],[ ]]</f>
        <v>#N/A</v>
      </c>
      <c r="AK28" s="75" t="e">
        <f>VLOOKUP(Tabulka5912153293541475359657177[[#This Row],[Tým]],Tabulka59121532935414753596571[[Tým]:[Body]],2,FALSE)</f>
        <v>#N/A</v>
      </c>
      <c r="AL28" s="47" t="e">
        <f>Tabulka5912153293541475359657177[[#This Row],[Umístění]]</f>
        <v>#N/A</v>
      </c>
      <c r="AM28" s="15"/>
      <c r="AP28" s="1"/>
    </row>
    <row r="29" spans="2:42" ht="24.95" customHeight="1" x14ac:dyDescent="0.4">
      <c r="D29" s="16"/>
      <c r="N29" s="68"/>
      <c r="P29" s="7"/>
      <c r="Q29" s="8"/>
      <c r="R29" s="8"/>
      <c r="Z29" s="31" t="e">
        <f>IF(OR(Tabulka3811142283440465258647076[Výsledný čas]="N",Tabulka3811142283440465258647076[Výsledný čas]="D",Tabulka3811142283440465258647076[Výsledný čas]="NEÚČAST"),Uvod!$E$6,_xlfn.RANK.EQ(Tabulka3811142283440465258647076[[#This Row],[ ]],Tabulka3811142283440465258647076[[ ]],1))</f>
        <v>#N/A</v>
      </c>
      <c r="AA29" s="51" t="s">
        <v>22</v>
      </c>
      <c r="AB29" s="44" t="e">
        <f>VLOOKUP(Tabulka3811142283440465258647076[[#This Row],[Tým]],Tabulka1710136303642485460667278[[Tým]:[ ]],2,FALSE)</f>
        <v>#N/A</v>
      </c>
      <c r="AC29" s="44" t="e">
        <f>VLOOKUP(Tabulka3811142283440465258647076[[#This Row],[Tým]],Tabulka1710136303642485460667278[[Tým]:[ ]],3,FALSE)</f>
        <v>#N/A</v>
      </c>
      <c r="AD29" s="25" t="e">
        <f>VLOOKUP(Tabulka3811142283440465258647076[[#This Row],[Tým]],Tabulka1710136303642485460667278[[Tým]:[ ]],4,FALSE)</f>
        <v>#N/A</v>
      </c>
      <c r="AE29" s="25" t="e">
        <f>VLOOKUP(Tabulka3811142283440465258647076[[#This Row],[Tým]],Tabulka1710136303642485460667278[[Tým]:[ ]],7,FALSE)</f>
        <v>#N/A</v>
      </c>
      <c r="AF29" s="29" t="e">
        <f>IF(Tabulka3811142283440465258647076[[#This Row],[Výsledný čas]]="N",5,IF(Tabulka3811142283440465258647076[[#This Row],[Výsledný čas]]="D",0,IF(Tabulka3811142283440465258647076[[#This Row],[Výsledný čas]]="NEÚČAST",0,Tabulka8[[#Totals],[Týmy ženy]]+6-Tabulka3811142283440465258647076[[#This Row],[Umístění]])))</f>
        <v>#N/A</v>
      </c>
      <c r="AH29" s="31" t="e">
        <f>_xlfn.RANK.EQ(Tabulka5912153293541475359657177[[#This Row],[Body]],Tabulka5912153293541475359657177[Body],0)</f>
        <v>#N/A</v>
      </c>
      <c r="AI29" s="51" t="s">
        <v>22</v>
      </c>
      <c r="AJ29" s="29" t="e">
        <f>VLOOKUP(Tabulka5912153293541475359657177[[#This Row],[Tým]],Tabulka3811142283440465258647076[[Tým]:[Body]],6,FALSE)+Tabulka5912153293541475359657177[[#This Row],[ ]]</f>
        <v>#N/A</v>
      </c>
      <c r="AK29" s="75" t="e">
        <f>VLOOKUP(Tabulka5912153293541475359657177[[#This Row],[Tým]],Tabulka59121532935414753596571[[Tým]:[Body]],2,FALSE)</f>
        <v>#N/A</v>
      </c>
      <c r="AL29" s="47" t="e">
        <f>Tabulka5912153293541475359657177[[#This Row],[Umístění]]</f>
        <v>#N/A</v>
      </c>
      <c r="AP29" s="1"/>
    </row>
    <row r="30" spans="2:42" ht="24.95" customHeight="1" thickBot="1" x14ac:dyDescent="0.45">
      <c r="D30" s="16"/>
      <c r="N30" s="68"/>
      <c r="P30" s="7"/>
      <c r="Q30" s="8"/>
      <c r="R30" s="8"/>
      <c r="Z30" s="31" t="e">
        <f>IF(OR(Tabulka3811142283440465258647076[Výsledný čas]="N",Tabulka3811142283440465258647076[Výsledný čas]="D",Tabulka3811142283440465258647076[Výsledný čas]="NEÚČAST"),Uvod!$E$6,_xlfn.RANK.EQ(Tabulka3811142283440465258647076[[#This Row],[ ]],Tabulka3811142283440465258647076[[ ]],1))</f>
        <v>#N/A</v>
      </c>
      <c r="AA30" s="51" t="s">
        <v>21</v>
      </c>
      <c r="AB30" s="44" t="e">
        <f>VLOOKUP(Tabulka3811142283440465258647076[[#This Row],[Tým]],Tabulka1710136303642485460667278[[Tým]:[ ]],2,FALSE)</f>
        <v>#N/A</v>
      </c>
      <c r="AC30" s="44" t="e">
        <f>VLOOKUP(Tabulka3811142283440465258647076[[#This Row],[Tým]],Tabulka1710136303642485460667278[[Tým]:[ ]],3,FALSE)</f>
        <v>#N/A</v>
      </c>
      <c r="AD30" s="25" t="e">
        <f>VLOOKUP(Tabulka3811142283440465258647076[[#This Row],[Tým]],Tabulka1710136303642485460667278[[Tým]:[ ]],4,FALSE)</f>
        <v>#N/A</v>
      </c>
      <c r="AE30" s="25" t="e">
        <f>VLOOKUP(Tabulka3811142283440465258647076[[#This Row],[Tým]],Tabulka1710136303642485460667278[[Tým]:[ ]],7,FALSE)</f>
        <v>#N/A</v>
      </c>
      <c r="AF30" s="29" t="e">
        <f>IF(Tabulka3811142283440465258647076[[#This Row],[Výsledný čas]]="N",5,IF(Tabulka3811142283440465258647076[[#This Row],[Výsledný čas]]="D",0,IF(Tabulka3811142283440465258647076[[#This Row],[Výsledný čas]]="NEÚČAST",0,Tabulka8[[#Totals],[Týmy ženy]]+6-Tabulka3811142283440465258647076[[#This Row],[Umístění]])))</f>
        <v>#N/A</v>
      </c>
      <c r="AH30" s="31" t="e">
        <f>_xlfn.RANK.EQ(Tabulka5912153293541475359657177[[#This Row],[Body]],Tabulka5912153293541475359657177[Body],0)</f>
        <v>#N/A</v>
      </c>
      <c r="AI30" s="51" t="s">
        <v>21</v>
      </c>
      <c r="AJ30" s="29" t="e">
        <f>VLOOKUP(Tabulka5912153293541475359657177[[#This Row],[Tým]],Tabulka3811142283440465258647076[[Tým]:[Body]],6,FALSE)+Tabulka5912153293541475359657177[[#This Row],[ ]]</f>
        <v>#N/A</v>
      </c>
      <c r="AK30" s="76" t="e">
        <f>VLOOKUP(Tabulka5912153293541475359657177[[#This Row],[Tým]],Tabulka59121532935414753596571[[Tým]:[Body]],2,FALSE)</f>
        <v>#N/A</v>
      </c>
      <c r="AL30" s="47" t="e">
        <f>Tabulka5912153293541475359657177[[#This Row],[Umístění]]</f>
        <v>#N/A</v>
      </c>
      <c r="AP30" s="1"/>
    </row>
    <row r="31" spans="2:42" ht="24.95" customHeight="1" x14ac:dyDescent="0.4">
      <c r="D31" s="16"/>
      <c r="P31" s="7"/>
      <c r="Q31" s="8"/>
      <c r="R31" s="8"/>
      <c r="Z31" s="31" t="e">
        <f>IF(OR(Tabulka3811142283440465258647076[Výsledný čas]="N",Tabulka3811142283440465258647076[Výsledný čas]="D",Tabulka3811142283440465258647076[Výsledný čas]="NEÚČAST"),Uvod!$E$6,_xlfn.RANK.EQ(Tabulka3811142283440465258647076[[#This Row],[ ]],Tabulka3811142283440465258647076[[ ]],1))</f>
        <v>#N/A</v>
      </c>
      <c r="AA31" s="51" t="s">
        <v>23</v>
      </c>
      <c r="AB31" s="44" t="e">
        <f>VLOOKUP(Tabulka3811142283440465258647076[[#This Row],[Tým]],Tabulka1710136303642485460667278[[Tým]:[ ]],2,FALSE)</f>
        <v>#N/A</v>
      </c>
      <c r="AC31" s="44" t="e">
        <f>VLOOKUP(Tabulka3811142283440465258647076[[#This Row],[Tým]],Tabulka1710136303642485460667278[[Tým]:[ ]],3,FALSE)</f>
        <v>#N/A</v>
      </c>
      <c r="AD31" s="25" t="e">
        <f>VLOOKUP(Tabulka3811142283440465258647076[[#This Row],[Tým]],Tabulka1710136303642485460667278[[Tým]:[ ]],4,FALSE)</f>
        <v>#N/A</v>
      </c>
      <c r="AE31" s="25" t="e">
        <f>VLOOKUP(Tabulka3811142283440465258647076[[#This Row],[Tým]],Tabulka1710136303642485460667278[[Tým]:[ ]],7,FALSE)</f>
        <v>#N/A</v>
      </c>
      <c r="AF31" s="29" t="e">
        <f>IF(Tabulka3811142283440465258647076[[#This Row],[Výsledný čas]]="N",5,IF(Tabulka3811142283440465258647076[[#This Row],[Výsledný čas]]="D",0,IF(Tabulka3811142283440465258647076[[#This Row],[Výsledný čas]]="NEÚČAST",0,Tabulka8[[#Totals],[Týmy ženy]]+6-Tabulka3811142283440465258647076[[#This Row],[Umístění]])))</f>
        <v>#N/A</v>
      </c>
      <c r="AH31" s="31" t="e">
        <f>_xlfn.RANK.EQ(Tabulka5912153293541475359657177[[#This Row],[Body]],Tabulka5912153293541475359657177[Body],0)</f>
        <v>#N/A</v>
      </c>
      <c r="AI31" s="51" t="s">
        <v>23</v>
      </c>
      <c r="AJ31" s="29" t="e">
        <f>VLOOKUP(Tabulka5912153293541475359657177[[#This Row],[Tým]],Tabulka3811142283440465258647076[[Tým]:[Body]],6,FALSE)+Tabulka5912153293541475359657177[[#This Row],[ ]]</f>
        <v>#N/A</v>
      </c>
      <c r="AK31" s="82" t="e">
        <f>VLOOKUP(Tabulka5912153293541475359657177[[#This Row],[Tým]],Tabulka59121532935414753596571[[Tým]:[Body]],2,FALSE)</f>
        <v>#N/A</v>
      </c>
      <c r="AL31" s="47" t="e">
        <f>Tabulka5912153293541475359657177[[#This Row],[Umístění]]</f>
        <v>#N/A</v>
      </c>
      <c r="AP31" s="1"/>
    </row>
    <row r="32" spans="2:42" ht="24.95" customHeight="1" x14ac:dyDescent="0.4">
      <c r="D32" s="16"/>
      <c r="P32" s="7"/>
      <c r="Q32" s="8"/>
      <c r="R32" s="8"/>
      <c r="Z32" s="31" t="e">
        <f>IF(OR(Tabulka3811142283440465258647076[Výsledný čas]="N",Tabulka3811142283440465258647076[Výsledný čas]="D",Tabulka3811142283440465258647076[Výsledný čas]="NEÚČAST"),Uvod!$E$6,_xlfn.RANK.EQ(Tabulka3811142283440465258647076[[#This Row],[ ]],Tabulka3811142283440465258647076[[ ]],1))</f>
        <v>#N/A</v>
      </c>
      <c r="AA32" s="51" t="s">
        <v>19</v>
      </c>
      <c r="AB32" s="44" t="e">
        <f>VLOOKUP(Tabulka3811142283440465258647076[[#This Row],[Tým]],Tabulka1710136303642485460667278[[Tým]:[ ]],2,FALSE)</f>
        <v>#N/A</v>
      </c>
      <c r="AC32" s="44" t="e">
        <f>VLOOKUP(Tabulka3811142283440465258647076[[#This Row],[Tým]],Tabulka1710136303642485460667278[[Tým]:[ ]],3,FALSE)</f>
        <v>#N/A</v>
      </c>
      <c r="AD32" s="25" t="e">
        <f>VLOOKUP(Tabulka3811142283440465258647076[[#This Row],[Tým]],Tabulka1710136303642485460667278[[Tým]:[ ]],4,FALSE)</f>
        <v>#N/A</v>
      </c>
      <c r="AE32" s="25" t="e">
        <f>VLOOKUP(Tabulka3811142283440465258647076[[#This Row],[Tým]],Tabulka1710136303642485460667278[[Tým]:[ ]],7,FALSE)</f>
        <v>#N/A</v>
      </c>
      <c r="AF32" s="29" t="e">
        <f>IF(Tabulka3811142283440465258647076[[#This Row],[Výsledný čas]]="N",5,IF(Tabulka3811142283440465258647076[[#This Row],[Výsledný čas]]="D",0,IF(Tabulka3811142283440465258647076[[#This Row],[Výsledný čas]]="NEÚČAST",0,Tabulka8[[#Totals],[Týmy ženy]]+6-Tabulka3811142283440465258647076[[#This Row],[Umístění]])))</f>
        <v>#N/A</v>
      </c>
      <c r="AH32" s="31" t="e">
        <f>_xlfn.RANK.EQ(Tabulka5912153293541475359657177[[#This Row],[Body]],Tabulka5912153293541475359657177[Body],0)</f>
        <v>#N/A</v>
      </c>
      <c r="AI32" s="51" t="s">
        <v>19</v>
      </c>
      <c r="AJ32" s="29" t="e">
        <f>VLOOKUP(Tabulka5912153293541475359657177[[#This Row],[Tým]],Tabulka3811142283440465258647076[[Tým]:[Body]],6,FALSE)+Tabulka5912153293541475359657177[[#This Row],[ ]]</f>
        <v>#N/A</v>
      </c>
      <c r="AK32" s="82" t="e">
        <f>VLOOKUP(Tabulka5912153293541475359657177[[#This Row],[Tým]],Tabulka59121532935414753596571[[Tým]:[Body]],2,FALSE)</f>
        <v>#N/A</v>
      </c>
      <c r="AL32" s="47" t="e">
        <f>Tabulka5912153293541475359657177[[#This Row],[Umístění]]</f>
        <v>#N/A</v>
      </c>
      <c r="AP32" s="1"/>
    </row>
    <row r="33" spans="4:42" ht="24.95" customHeight="1" x14ac:dyDescent="0.4">
      <c r="D33" s="16"/>
      <c r="P33" s="7"/>
      <c r="Q33" s="8"/>
      <c r="R33" s="8"/>
      <c r="Z33" s="31" t="e">
        <f>IF(OR(Tabulka3811142283440465258647076[Výsledný čas]="N",Tabulka3811142283440465258647076[Výsledný čas]="D",Tabulka3811142283440465258647076[Výsledný čas]="NEÚČAST"),Uvod!$E$6,_xlfn.RANK.EQ(Tabulka3811142283440465258647076[[#This Row],[ ]],Tabulka3811142283440465258647076[[ ]],1))</f>
        <v>#N/A</v>
      </c>
      <c r="AA33" s="51" t="s">
        <v>15</v>
      </c>
      <c r="AB33" s="44" t="e">
        <f>VLOOKUP(Tabulka3811142283440465258647076[[#This Row],[Tým]],Tabulka1710136303642485460667278[[Tým]:[ ]],2,FALSE)</f>
        <v>#N/A</v>
      </c>
      <c r="AC33" s="44" t="e">
        <f>VLOOKUP(Tabulka3811142283440465258647076[[#This Row],[Tým]],Tabulka1710136303642485460667278[[Tým]:[ ]],3,FALSE)</f>
        <v>#N/A</v>
      </c>
      <c r="AD33" s="25" t="e">
        <f>VLOOKUP(Tabulka3811142283440465258647076[[#This Row],[Tým]],Tabulka1710136303642485460667278[[Tým]:[ ]],4,FALSE)</f>
        <v>#N/A</v>
      </c>
      <c r="AE33" s="25" t="e">
        <f>VLOOKUP(Tabulka3811142283440465258647076[[#This Row],[Tým]],Tabulka1710136303642485460667278[[Tým]:[ ]],7,FALSE)</f>
        <v>#N/A</v>
      </c>
      <c r="AF33" s="29" t="e">
        <f>IF(Tabulka3811142283440465258647076[[#This Row],[Výsledný čas]]="N",5,IF(Tabulka3811142283440465258647076[[#This Row],[Výsledný čas]]="D",0,IF(Tabulka3811142283440465258647076[[#This Row],[Výsledný čas]]="NEÚČAST",0,Tabulka8[[#Totals],[Týmy ženy]]+6-Tabulka3811142283440465258647076[[#This Row],[Umístění]])))</f>
        <v>#N/A</v>
      </c>
      <c r="AH33" s="31" t="e">
        <f>_xlfn.RANK.EQ(Tabulka5912153293541475359657177[[#This Row],[Body]],Tabulka5912153293541475359657177[Body],0)</f>
        <v>#N/A</v>
      </c>
      <c r="AI33" s="51" t="s">
        <v>15</v>
      </c>
      <c r="AJ33" s="29" t="e">
        <f>VLOOKUP(Tabulka5912153293541475359657177[[#This Row],[Tým]],Tabulka3811142283440465258647076[[Tým]:[Body]],6,FALSE)+Tabulka5912153293541475359657177[[#This Row],[ ]]</f>
        <v>#N/A</v>
      </c>
      <c r="AK33" s="82" t="e">
        <f>VLOOKUP(Tabulka5912153293541475359657177[[#This Row],[Tým]],Tabulka59121532935414753596571[[Tým]:[Body]],2,FALSE)</f>
        <v>#N/A</v>
      </c>
      <c r="AL33" s="47" t="e">
        <f>Tabulka5912153293541475359657177[[#This Row],[Umístění]]</f>
        <v>#N/A</v>
      </c>
      <c r="AP33" s="1"/>
    </row>
    <row r="34" spans="4:42" ht="24.95" customHeight="1" x14ac:dyDescent="0.4">
      <c r="D34" s="16"/>
      <c r="N34" s="70"/>
      <c r="P34" s="7"/>
      <c r="Q34" s="8"/>
      <c r="R34" s="8"/>
      <c r="Z34" s="31" t="e">
        <f>IF(OR(Tabulka3811142283440465258647076[Výsledný čas]="N",Tabulka3811142283440465258647076[Výsledný čas]="D",Tabulka3811142283440465258647076[Výsledný čas]="NEÚČAST"),Uvod!$E$6,_xlfn.RANK.EQ(Tabulka3811142283440465258647076[[#This Row],[ ]],Tabulka3811142283440465258647076[[ ]],1))</f>
        <v>#N/A</v>
      </c>
      <c r="AA34" s="51" t="s">
        <v>16</v>
      </c>
      <c r="AB34" s="44" t="e">
        <f>VLOOKUP(Tabulka3811142283440465258647076[[#This Row],[Tým]],Tabulka1710136303642485460667278[[Tým]:[ ]],2,FALSE)</f>
        <v>#N/A</v>
      </c>
      <c r="AC34" s="44" t="e">
        <f>VLOOKUP(Tabulka3811142283440465258647076[[#This Row],[Tým]],Tabulka1710136303642485460667278[[Tým]:[ ]],3,FALSE)</f>
        <v>#N/A</v>
      </c>
      <c r="AD34" s="25" t="e">
        <f>VLOOKUP(Tabulka3811142283440465258647076[[#This Row],[Tým]],Tabulka1710136303642485460667278[[Tým]:[ ]],4,FALSE)</f>
        <v>#N/A</v>
      </c>
      <c r="AE34" s="25" t="e">
        <f>VLOOKUP(Tabulka3811142283440465258647076[[#This Row],[Tým]],Tabulka1710136303642485460667278[[Tým]:[ ]],7,FALSE)</f>
        <v>#N/A</v>
      </c>
      <c r="AF34" s="29" t="e">
        <f>IF(Tabulka3811142283440465258647076[[#This Row],[Výsledný čas]]="N",5,IF(Tabulka3811142283440465258647076[[#This Row],[Výsledný čas]]="D",0,IF(Tabulka3811142283440465258647076[[#This Row],[Výsledný čas]]="NEÚČAST",0,Tabulka8[[#Totals],[Týmy ženy]]+6-Tabulka3811142283440465258647076[[#This Row],[Umístění]])))</f>
        <v>#N/A</v>
      </c>
      <c r="AH34" s="31" t="e">
        <f>_xlfn.RANK.EQ(Tabulka5912153293541475359657177[[#This Row],[Body]],Tabulka5912153293541475359657177[Body],0)</f>
        <v>#N/A</v>
      </c>
      <c r="AI34" s="51" t="s">
        <v>16</v>
      </c>
      <c r="AJ34" s="29" t="e">
        <f>VLOOKUP(Tabulka5912153293541475359657177[[#This Row],[Tým]],Tabulka3811142283440465258647076[[Tým]:[Body]],6,FALSE)+Tabulka5912153293541475359657177[[#This Row],[ ]]</f>
        <v>#N/A</v>
      </c>
      <c r="AK34" s="82" t="e">
        <f>VLOOKUP(Tabulka5912153293541475359657177[[#This Row],[Tým]],Tabulka59121532935414753596571[[Tým]:[Body]],2,FALSE)</f>
        <v>#N/A</v>
      </c>
      <c r="AL34" s="47" t="e">
        <f>Tabulka5912153293541475359657177[[#This Row],[Umístění]]</f>
        <v>#N/A</v>
      </c>
      <c r="AP34" s="1"/>
    </row>
    <row r="35" spans="4:42" ht="24.95" customHeight="1" x14ac:dyDescent="0.4">
      <c r="D35" s="16"/>
      <c r="N35" s="70"/>
      <c r="P35" s="7"/>
      <c r="Q35" s="8"/>
      <c r="R35" s="8"/>
      <c r="Z35" s="31" t="e">
        <f>IF(OR(Tabulka3811142283440465258647076[Výsledný čas]="N",Tabulka3811142283440465258647076[Výsledný čas]="D",Tabulka3811142283440465258647076[Výsledný čas]="NEÚČAST"),Uvod!$E$6,_xlfn.RANK.EQ(Tabulka3811142283440465258647076[[#This Row],[ ]],Tabulka3811142283440465258647076[[ ]],1))</f>
        <v>#N/A</v>
      </c>
      <c r="AA35" s="51" t="s">
        <v>24</v>
      </c>
      <c r="AB35" s="44" t="e">
        <f>VLOOKUP(Tabulka3811142283440465258647076[[#This Row],[Tým]],Tabulka1710136303642485460667278[[Tým]:[ ]],2,FALSE)</f>
        <v>#N/A</v>
      </c>
      <c r="AC35" s="44" t="e">
        <f>VLOOKUP(Tabulka3811142283440465258647076[[#This Row],[Tým]],Tabulka1710136303642485460667278[[Tým]:[ ]],3,FALSE)</f>
        <v>#N/A</v>
      </c>
      <c r="AD35" s="25" t="e">
        <f>VLOOKUP(Tabulka3811142283440465258647076[[#This Row],[Tým]],Tabulka1710136303642485460667278[[Tým]:[ ]],4,FALSE)</f>
        <v>#N/A</v>
      </c>
      <c r="AE35" s="25" t="e">
        <f>VLOOKUP(Tabulka3811142283440465258647076[[#This Row],[Tým]],Tabulka1710136303642485460667278[[Tým]:[ ]],7,FALSE)</f>
        <v>#N/A</v>
      </c>
      <c r="AF35" s="29" t="e">
        <f>IF(Tabulka3811142283440465258647076[[#This Row],[Výsledný čas]]="N",5,IF(Tabulka3811142283440465258647076[[#This Row],[Výsledný čas]]="D",0,IF(Tabulka3811142283440465258647076[[#This Row],[Výsledný čas]]="NEÚČAST",0,Tabulka8[[#Totals],[Týmy ženy]]+6-Tabulka3811142283440465258647076[[#This Row],[Umístění]])))</f>
        <v>#N/A</v>
      </c>
      <c r="AH35" s="31" t="e">
        <f>_xlfn.RANK.EQ(Tabulka5912153293541475359657177[[#This Row],[Body]],Tabulka5912153293541475359657177[Body],0)</f>
        <v>#N/A</v>
      </c>
      <c r="AI35" s="51" t="s">
        <v>24</v>
      </c>
      <c r="AJ35" s="29" t="e">
        <f>VLOOKUP(Tabulka5912153293541475359657177[[#This Row],[Tým]],Tabulka3811142283440465258647076[[Tým]:[Body]],6,FALSE)+Tabulka5912153293541475359657177[[#This Row],[ ]]</f>
        <v>#N/A</v>
      </c>
      <c r="AK35" s="82" t="e">
        <f>VLOOKUP(Tabulka5912153293541475359657177[[#This Row],[Tým]],Tabulka59121532935414753596571[[Tým]:[Body]],2,FALSE)</f>
        <v>#N/A</v>
      </c>
      <c r="AL35" s="47" t="e">
        <f>Tabulka5912153293541475359657177[[#This Row],[Umístění]]</f>
        <v>#N/A</v>
      </c>
      <c r="AP35" s="1"/>
    </row>
    <row r="36" spans="4:42" ht="24.95" customHeight="1" thickBot="1" x14ac:dyDescent="0.45">
      <c r="D36" s="16"/>
      <c r="P36" s="7"/>
      <c r="Q36" s="8"/>
      <c r="R36" s="8"/>
      <c r="Z36" s="33" t="e">
        <f>IF(OR(Tabulka3811142283440465258647076[Výsledný čas]="N",Tabulka3811142283440465258647076[Výsledný čas]="D",Tabulka3811142283440465258647076[Výsledný čas]="NEÚČAST"),Uvod!$E$6,_xlfn.RANK.EQ(Tabulka3811142283440465258647076[[#This Row],[ ]],Tabulka3811142283440465258647076[[ ]],1))</f>
        <v>#N/A</v>
      </c>
      <c r="AA36" s="62" t="s">
        <v>36</v>
      </c>
      <c r="AB36" s="45" t="e">
        <f>VLOOKUP(Tabulka3811142283440465258647076[[#This Row],[Tým]],Tabulka1710136303642485460667278[[Tým]:[ ]],2,FALSE)</f>
        <v>#N/A</v>
      </c>
      <c r="AC36" s="45" t="e">
        <f>VLOOKUP(Tabulka3811142283440465258647076[[#This Row],[Tým]],Tabulka1710136303642485460667278[[Tým]:[ ]],3,FALSE)</f>
        <v>#N/A</v>
      </c>
      <c r="AD36" s="34" t="e">
        <f>VLOOKUP(Tabulka3811142283440465258647076[[#This Row],[Tým]],Tabulka1710136303642485460667278[[Tým]:[ ]],4,FALSE)</f>
        <v>#N/A</v>
      </c>
      <c r="AE36" s="34" t="e">
        <f>VLOOKUP(Tabulka3811142283440465258647076[[#This Row],[Tým]],Tabulka1710136303642485460667278[[Tým]:[ ]],7,FALSE)</f>
        <v>#N/A</v>
      </c>
      <c r="AF36" s="36" t="e">
        <f>IF(Tabulka3811142283440465258647076[[#This Row],[Výsledný čas]]="N",5,IF(Tabulka3811142283440465258647076[[#This Row],[Výsledný čas]]="D",0,IF(Tabulka3811142283440465258647076[[#This Row],[Výsledný čas]]="NEÚČAST",0,Tabulka8[[#Totals],[Týmy ženy]]+6-Tabulka3811142283440465258647076[[#This Row],[Umístění]])))</f>
        <v>#N/A</v>
      </c>
      <c r="AH36" s="33" t="e">
        <f>_xlfn.RANK.EQ(Tabulka5912153293541475359657177[[#This Row],[Body]],Tabulka5912153293541475359657177[Body],0)</f>
        <v>#N/A</v>
      </c>
      <c r="AI36" s="62" t="s">
        <v>36</v>
      </c>
      <c r="AJ36" s="36" t="e">
        <f>VLOOKUP(Tabulka5912153293541475359657177[[#This Row],[Tým]],Tabulka3811142283440465258647076[[Tým]:[Body]],6,FALSE)+Tabulka5912153293541475359657177[[#This Row],[ ]]</f>
        <v>#N/A</v>
      </c>
      <c r="AK36" s="82" t="e">
        <f>VLOOKUP(Tabulka5912153293541475359657177[[#This Row],[Tým]],Tabulka59121532935414753596571[[Tým]:[Body]],2,FALSE)</f>
        <v>#N/A</v>
      </c>
      <c r="AL36" s="93" t="e">
        <f>Tabulka5912153293541475359657177[[#This Row],[Umístění]]</f>
        <v>#N/A</v>
      </c>
      <c r="AP36" s="1"/>
    </row>
    <row r="37" spans="4:42" ht="24.95" customHeight="1" x14ac:dyDescent="0.4">
      <c r="D37" s="16"/>
      <c r="P37" s="7"/>
      <c r="Q37" s="8"/>
      <c r="R37" s="8"/>
      <c r="AB37" s="3"/>
      <c r="AC37" s="3"/>
      <c r="AK37" s="4"/>
    </row>
    <row r="38" spans="4:42" ht="24.95" customHeight="1" x14ac:dyDescent="0.4">
      <c r="D38" s="16"/>
      <c r="P38" s="7"/>
      <c r="Q38" s="8"/>
      <c r="R38" s="8"/>
      <c r="AB38" s="3"/>
      <c r="AC38" s="3"/>
      <c r="AK38" s="4"/>
    </row>
    <row r="39" spans="4:42" ht="24.95" customHeight="1" x14ac:dyDescent="0.4">
      <c r="D39" s="16"/>
      <c r="N39" s="68"/>
      <c r="P39" s="7"/>
      <c r="Q39" s="8"/>
      <c r="R39" s="8"/>
      <c r="AB39" s="3"/>
      <c r="AC39" s="3"/>
      <c r="AK39" s="4"/>
    </row>
    <row r="40" spans="4:42" ht="24.95" customHeight="1" x14ac:dyDescent="0.4">
      <c r="D40" s="16"/>
      <c r="N40" s="68"/>
      <c r="P40" s="7"/>
      <c r="Q40" s="8"/>
      <c r="R40" s="8"/>
      <c r="AB40" s="3"/>
      <c r="AC40" s="3"/>
      <c r="AK40" s="4"/>
    </row>
    <row r="41" spans="4:42" ht="24.95" customHeight="1" x14ac:dyDescent="0.4">
      <c r="D41" s="16"/>
      <c r="P41" s="7"/>
      <c r="Q41" s="8"/>
      <c r="R41" s="8"/>
      <c r="AB41" s="3"/>
      <c r="AC41" s="3"/>
      <c r="AK41" s="4"/>
    </row>
    <row r="42" spans="4:42" ht="24.95" customHeight="1" x14ac:dyDescent="0.4">
      <c r="D42" s="16"/>
      <c r="P42" s="7"/>
      <c r="Q42" s="8"/>
      <c r="R42" s="8"/>
      <c r="AB42" s="3"/>
      <c r="AC42" s="3"/>
      <c r="AK42" s="4"/>
    </row>
    <row r="43" spans="4:42" ht="24.95" customHeight="1" x14ac:dyDescent="0.4">
      <c r="D43" s="16"/>
      <c r="P43" s="7"/>
      <c r="Q43" s="8"/>
      <c r="R43" s="8"/>
      <c r="AB43" s="3"/>
      <c r="AC43" s="3"/>
      <c r="AK43" s="4"/>
    </row>
    <row r="44" spans="4:42" ht="24.95" customHeight="1" x14ac:dyDescent="0.4">
      <c r="D44" s="16"/>
      <c r="N44" s="68"/>
      <c r="P44" s="7"/>
      <c r="Q44" s="8"/>
      <c r="R44" s="8"/>
    </row>
    <row r="45" spans="4:42" ht="24.95" customHeight="1" x14ac:dyDescent="0.4">
      <c r="D45" s="16"/>
      <c r="N45" s="68"/>
      <c r="P45" s="7"/>
      <c r="Q45" s="8"/>
      <c r="R45" s="8"/>
    </row>
    <row r="46" spans="4:42" ht="24.95" customHeight="1" x14ac:dyDescent="0.4">
      <c r="D46" s="16"/>
      <c r="P46" s="7"/>
      <c r="Q46" s="8"/>
      <c r="R46" s="8"/>
    </row>
    <row r="47" spans="4:42" ht="24.95" customHeight="1" x14ac:dyDescent="0.4">
      <c r="D47" s="16"/>
      <c r="P47" s="7"/>
      <c r="Q47" s="8"/>
      <c r="R47" s="8"/>
    </row>
    <row r="48" spans="4:42" ht="24.95" customHeight="1" x14ac:dyDescent="0.4">
      <c r="D48" s="16"/>
      <c r="P48" s="7"/>
      <c r="Q48" s="8"/>
      <c r="R48" s="8"/>
    </row>
    <row r="49" spans="4:16" ht="24.95" customHeight="1" x14ac:dyDescent="0.4">
      <c r="D49" s="16"/>
      <c r="P49" s="16"/>
    </row>
    <row r="50" spans="4:16" ht="24.95" customHeight="1" x14ac:dyDescent="0.4">
      <c r="D50" s="16"/>
      <c r="P50" s="16"/>
    </row>
    <row r="51" spans="4:16" ht="24.95" customHeight="1" x14ac:dyDescent="0.4">
      <c r="D51" s="16"/>
      <c r="P51" s="16"/>
    </row>
    <row r="52" spans="4:16" ht="24.95" customHeight="1" x14ac:dyDescent="0.4">
      <c r="D52" s="16"/>
      <c r="P52" s="16"/>
    </row>
    <row r="53" spans="4:16" ht="24.95" customHeight="1" x14ac:dyDescent="0.4">
      <c r="D53" s="16"/>
      <c r="P53" s="16"/>
    </row>
  </sheetData>
  <mergeCells count="6">
    <mergeCell ref="B2:J2"/>
    <mergeCell ref="N2:V2"/>
    <mergeCell ref="Z2:AF2"/>
    <mergeCell ref="AH2:AK2"/>
    <mergeCell ref="Z25:AF25"/>
    <mergeCell ref="AH25:AK25"/>
  </mergeCells>
  <phoneticPr fontId="12" type="noConversion"/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0922F-5257-4226-BCA7-3ECEF5FD9752}">
  <dimension ref="A1:AP53"/>
  <sheetViews>
    <sheetView showGridLines="0" zoomScale="55" zoomScaleNormal="55" workbookViewId="0">
      <selection activeCell="AH2" sqref="AH2:AK2"/>
    </sheetView>
  </sheetViews>
  <sheetFormatPr defaultRowHeight="26.25" x14ac:dyDescent="0.4"/>
  <cols>
    <col min="1" max="1" width="5.7109375" style="1" customWidth="1"/>
    <col min="2" max="3" width="16.7109375" style="1" customWidth="1"/>
    <col min="4" max="4" width="35.7109375" style="1" customWidth="1"/>
    <col min="5" max="6" width="16.7109375" style="1" customWidth="1"/>
    <col min="7" max="7" width="20.7109375" style="1" customWidth="1"/>
    <col min="8" max="9" width="20.7109375" style="1" hidden="1" customWidth="1"/>
    <col min="10" max="12" width="11.5703125" style="1" hidden="1" customWidth="1"/>
    <col min="13" max="13" width="10.7109375" style="1" customWidth="1"/>
    <col min="14" max="15" width="16.7109375" style="1" customWidth="1"/>
    <col min="16" max="16" width="35.7109375" style="1" customWidth="1"/>
    <col min="17" max="18" width="16.7109375" style="1" customWidth="1"/>
    <col min="19" max="19" width="20.7109375" style="1" customWidth="1"/>
    <col min="20" max="21" width="20.7109375" style="1" hidden="1" customWidth="1"/>
    <col min="22" max="24" width="13.7109375" style="1" hidden="1" customWidth="1"/>
    <col min="25" max="25" width="9.140625" style="1"/>
    <col min="26" max="26" width="16.7109375" style="1" customWidth="1"/>
    <col min="27" max="27" width="35.7109375" style="1" customWidth="1"/>
    <col min="28" max="29" width="16.7109375" style="1" customWidth="1"/>
    <col min="30" max="30" width="20.7109375" style="1" customWidth="1"/>
    <col min="31" max="31" width="13.7109375" style="1" hidden="1" customWidth="1"/>
    <col min="32" max="32" width="12.7109375" style="1" customWidth="1"/>
    <col min="33" max="33" width="9.140625" style="1"/>
    <col min="34" max="34" width="16.7109375" style="1" customWidth="1"/>
    <col min="35" max="35" width="35.7109375" style="1" customWidth="1"/>
    <col min="36" max="36" width="12.7109375" style="1" customWidth="1"/>
    <col min="37" max="38" width="34.42578125" style="1" hidden="1" customWidth="1"/>
    <col min="39" max="41" width="9.140625" style="1"/>
    <col min="42" max="16384" width="9.140625" style="2"/>
  </cols>
  <sheetData>
    <row r="1" spans="1:42" ht="24.95" customHeight="1" thickBot="1" x14ac:dyDescent="0.45"/>
    <row r="2" spans="1:42" ht="24.95" customHeight="1" x14ac:dyDescent="0.4">
      <c r="A2" s="9"/>
      <c r="B2" s="317" t="str">
        <f>"Výsledky - Soutěže "&amp;Uvod!A14&amp;" kola NHHL "&amp;TEXT(Uvod!B14,"d.m. rrrr")&amp;" "&amp;Uvod!C14&amp;" - MUŽI "</f>
        <v xml:space="preserve">Výsledky - Soutěže 12. kola NHHL 15.9. 2023 Vřesina - MUŽI </v>
      </c>
      <c r="C2" s="318"/>
      <c r="D2" s="318"/>
      <c r="E2" s="318"/>
      <c r="F2" s="318"/>
      <c r="G2" s="318"/>
      <c r="H2" s="318"/>
      <c r="I2" s="318"/>
      <c r="J2" s="319"/>
      <c r="K2" s="177"/>
      <c r="L2" s="177"/>
      <c r="M2" s="15"/>
      <c r="N2" s="308" t="str">
        <f>"Výsledky - Soutěže "&amp;Uvod!A15&amp;" kola NHHL "&amp;TEXT(Uvod!B15,"d.m. rrrr")&amp;" "&amp;Uvod!C15&amp;" - ŽENY "</f>
        <v xml:space="preserve">Výsledky - Soutěže 13. kola NHHL 0.1. 1900  - ŽENY </v>
      </c>
      <c r="O2" s="309"/>
      <c r="P2" s="309"/>
      <c r="Q2" s="309"/>
      <c r="R2" s="309"/>
      <c r="S2" s="309"/>
      <c r="T2" s="320"/>
      <c r="U2" s="320"/>
      <c r="V2" s="310"/>
      <c r="W2" s="180"/>
      <c r="X2" s="180"/>
      <c r="Y2" s="15"/>
      <c r="Z2" s="324" t="str">
        <f>B2</f>
        <v xml:space="preserve">Výsledky - Soutěže 12. kola NHHL 15.9. 2023 Vřesina - MUŽI </v>
      </c>
      <c r="AA2" s="325"/>
      <c r="AB2" s="325"/>
      <c r="AC2" s="325"/>
      <c r="AD2" s="325"/>
      <c r="AE2" s="325"/>
      <c r="AF2" s="326"/>
      <c r="AH2" s="324" t="s">
        <v>143</v>
      </c>
      <c r="AI2" s="325"/>
      <c r="AJ2" s="325"/>
      <c r="AK2" s="326"/>
      <c r="AL2" s="66"/>
      <c r="AM2" s="15"/>
    </row>
    <row r="3" spans="1:42" ht="24.95" customHeight="1" thickBot="1" x14ac:dyDescent="0.45">
      <c r="B3" s="21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3" t="s">
        <v>5</v>
      </c>
      <c r="H3" s="22" t="s">
        <v>73</v>
      </c>
      <c r="I3" s="22" t="s">
        <v>74</v>
      </c>
      <c r="J3" s="1" t="s">
        <v>27</v>
      </c>
      <c r="N3" s="73" t="s">
        <v>0</v>
      </c>
      <c r="O3" s="74" t="s">
        <v>1</v>
      </c>
      <c r="P3" s="74" t="s">
        <v>2</v>
      </c>
      <c r="Q3" s="74" t="s">
        <v>3</v>
      </c>
      <c r="R3" s="74" t="s">
        <v>4</v>
      </c>
      <c r="S3" s="74" t="s">
        <v>5</v>
      </c>
      <c r="T3" s="86" t="s">
        <v>73</v>
      </c>
      <c r="U3" s="86" t="s">
        <v>74</v>
      </c>
      <c r="V3" s="29" t="s">
        <v>27</v>
      </c>
      <c r="Y3" s="15"/>
      <c r="Z3" s="58" t="s">
        <v>1</v>
      </c>
      <c r="AA3" s="59" t="s">
        <v>2</v>
      </c>
      <c r="AB3" s="59" t="s">
        <v>3</v>
      </c>
      <c r="AC3" s="59" t="s">
        <v>4</v>
      </c>
      <c r="AD3" s="59" t="s">
        <v>5</v>
      </c>
      <c r="AE3" s="59" t="s">
        <v>27</v>
      </c>
      <c r="AF3" s="60" t="s">
        <v>7</v>
      </c>
      <c r="AH3" s="58" t="s">
        <v>1</v>
      </c>
      <c r="AI3" s="59" t="s">
        <v>2</v>
      </c>
      <c r="AJ3" s="59" t="s">
        <v>7</v>
      </c>
      <c r="AK3" s="29" t="s">
        <v>27</v>
      </c>
      <c r="AL3" s="9" t="s">
        <v>73</v>
      </c>
      <c r="AM3" s="15"/>
      <c r="AP3" s="1"/>
    </row>
    <row r="4" spans="1:42" ht="24.95" customHeight="1" x14ac:dyDescent="0.4">
      <c r="B4" s="103"/>
      <c r="C4" s="65" t="str">
        <f>IF(Tabulka17101325313743495561677379[[#This Row],[ ]]="","",IF(Tabulka17101325313743495561677379[[#This Row],[ ]]="NEÚČAST","",IF(OR(Tabulka17101325313743495561677379[Výsledný čas]="N",Tabulka17101325313743495561677379[Výsledný čas]="D"),$L$4-$L$5,_xlfn.RANK.EQ(Tabulka17101325313743495561677379[[#This Row],[ ]],Tabulka17101325313743495561677379[[ ]],1))))</f>
        <v/>
      </c>
      <c r="D4" s="106"/>
      <c r="E4" s="69"/>
      <c r="F4" s="69"/>
      <c r="G4" s="66" t="str">
        <f>IF(OR(Tabulka17101325313743495561677379[[#This Row],[LP]]="N",Tabulka17101325313743495561677379[[#This Row],[PP]]="N"),"N",IF(OR(Tabulka17101325313743495561677379[[#This Row],[LP]]="D",Tabulka17101325313743495561677379[[#This Row],[PP]]="D"),"D",IF(OR(Tabulka17101325313743495561677379[[#This Row],[LP]]="NEÚČAST",Tabulka17101325313743495561677379[[#This Row],[PP]]="NEÚČAST"),"NEÚČAST",IF(OR(Tabulka17101325313743495561677379[[#This Row],[LP]]="",Tabulka17101325313743495561677379[[#This Row],[PP]]=""),"",MAX(Tabulka17101325313743495561677379[[#This Row],[LP]:[PP]])))))</f>
        <v/>
      </c>
      <c r="H4" s="1">
        <f>COUNTIF(Tabulka17101325313743495561677379[[#This Row],[Tým]],"*")</f>
        <v>0</v>
      </c>
      <c r="I4" s="1">
        <f>COUNTIF(Tabulka17101325313743495561677379[[#This Row],[Výsledný čas]],"NEÚČAST")</f>
        <v>0</v>
      </c>
      <c r="J4" s="1" t="str">
        <f>IF(Tabulka17101325313743495561677379[[#This Row],[Výsledný čas]]="N",998,IF(Tabulka17101325313743495561677379[[#This Row],[Výsledný čas]]="D",998,IF(Tabulka17101325313743495561677379[[#This Row],[Výsledný čas]]="","",Tabulka17101325313743495561677379[[#This Row],[Výsledný čas]])))</f>
        <v/>
      </c>
      <c r="L4" s="1">
        <f>SUM(Tabulka17101325313743495561677379[Sloupec1])</f>
        <v>0</v>
      </c>
      <c r="N4" s="100"/>
      <c r="O4" s="80" t="str">
        <f>IF(Tabulka171013630364248546066727884[[#This Row],[ ]]="","",IF(Tabulka171013630364248546066727884[[#This Row],[ ]]="NEÚČAST","",IF(OR(Tabulka171013630364248546066727884[Výsledný čas]="N",Tabulka171013630364248546066727884[Výsledný čas]="D"),$X$4-$X$5,_xlfn.RANK.EQ(Tabulka171013630364248546066727884[[#This Row],[ ]],Tabulka171013630364248546066727884[[ ]],1))))</f>
        <v/>
      </c>
      <c r="P4" s="104"/>
      <c r="Q4" s="105"/>
      <c r="R4" s="105"/>
      <c r="S4" s="81" t="str">
        <f>IF(OR(Tabulka171013630364248546066727884[[#This Row],[LP]]="N",Tabulka171013630364248546066727884[[#This Row],[PP]]="N"),"N",IF(OR(Tabulka171013630364248546066727884[[#This Row],[LP]]="D",Tabulka171013630364248546066727884[[#This Row],[PP]]="D"),"D",IF(OR(Tabulka171013630364248546066727884[[#This Row],[LP]]="NEÚČAST",Tabulka171013630364248546066727884[[#This Row],[PP]]="NEÚČAST"),"NEÚČAST",IF(OR(Tabulka171013630364248546066727884[[#This Row],[LP]]="",Tabulka171013630364248546066727884[[#This Row],[PP]]=""),"",MAX(Tabulka171013630364248546066727884[[#This Row],[LP]:[PP]])))))</f>
        <v/>
      </c>
      <c r="T4" s="181">
        <f>COUNTIF(Tabulka171013630364248546066727884[[#This Row],[Tým]],"*")</f>
        <v>0</v>
      </c>
      <c r="U4" s="181">
        <f>COUNTIF(Tabulka171013630364248546066727884[[#This Row],[Výsledný čas]],"NEÚČAST")</f>
        <v>0</v>
      </c>
      <c r="V4" s="88" t="str">
        <f>IF(Tabulka171013630364248546066727884[[#This Row],[Výsledný čas]]="N",998,IF(Tabulka171013630364248546066727884[[#This Row],[Výsledný čas]]="D",998,IF(Tabulka171013630364248546066727884[[#This Row],[Výsledný čas]]="","",Tabulka171013630364248546066727884[[#This Row],[Výsledný čas]])))</f>
        <v/>
      </c>
      <c r="X4" s="1">
        <f>SUM(Tabulka171013630364248546066727884[Sloupec1])</f>
        <v>0</v>
      </c>
      <c r="Y4" s="15"/>
      <c r="Z4" s="77" t="e">
        <f>IF(OR(Tabulka38111426323844505662687480[Výsledný čas]="N",Tabulka38111426323844505662687480[Výsledný čas]="D",Tabulka38111426323844505662687480[Výsledný čas]="NEÚČAST"),Uvod!$E$4,_xlfn.RANK.EQ(Tabulka38111426323844505662687480[[#This Row],[ ]],Tabulka38111426323844505662687480[[ ]],1))</f>
        <v>#N/A</v>
      </c>
      <c r="AA4" s="78" t="s">
        <v>19</v>
      </c>
      <c r="AB4" s="79" t="e">
        <f>VLOOKUP(Tabulka38111426323844505662687480[[#This Row],[Tým]],Tabulka17101325313743495561677379[[Tým]:[ ]],2,FALSE)</f>
        <v>#N/A</v>
      </c>
      <c r="AC4" s="79" t="e">
        <f>VLOOKUP(Tabulka38111426323844505662687480[[#This Row],[Tým]],Tabulka17101325313743495561677379[[Tým]:[ ]],3,FALSE)</f>
        <v>#N/A</v>
      </c>
      <c r="AD4" s="80" t="e">
        <f>VLOOKUP(Tabulka38111426323844505662687480[[#This Row],[Tým]],Tabulka17101325313743495561677379[[Tým]:[ ]],4,FALSE)</f>
        <v>#N/A</v>
      </c>
      <c r="AE4" s="80" t="e">
        <f>VLOOKUP(Tabulka38111426323844505662687480[[#This Row],[Tým]],Tabulka17101325313743495561677379[[Tým]:[ ]],7,FALSE)</f>
        <v>#N/A</v>
      </c>
      <c r="AF4" s="81" t="e">
        <f>IF(Tabulka38111426323844505662687480[[#This Row],[Výsledný čas]]="N",5,IF(Tabulka38111426323844505662687480[[#This Row],[Výsledný čas]]="D",0,IF(Tabulka38111426323844505662687480[[#This Row],[Výsledný čas]]="NEÚČAST",0,Tabulka4[[#Totals],[Týmy muži]]+6-Tabulka38111426323844505662687480[[#This Row],[Umístění]])))</f>
        <v>#N/A</v>
      </c>
      <c r="AH4" s="77" t="e">
        <f>_xlfn.RANK.EQ(Tabulka59121527333945515763697581[[#This Row],[Body]],Tabulka59121527333945515763697581[Body],0)</f>
        <v>#N/A</v>
      </c>
      <c r="AI4" s="78" t="s">
        <v>19</v>
      </c>
      <c r="AJ4" s="81" t="e">
        <f>VLOOKUP(Tabulka59121527333945515763697581[[#This Row],[Tým]],Tabulka38111426323844505662687480[[Tým]:[Body]],6,FALSE)+Tabulka59121527333945515763697581[[#This Row],[ ]]</f>
        <v>#N/A</v>
      </c>
      <c r="AK4" s="75" t="e">
        <f>VLOOKUP(Tabulka59121527333945515763697581[[#This Row],[Tým]],Tabulka591215273339455157636975[[Tým]:[Body]],2,FALSE)</f>
        <v>#N/A</v>
      </c>
      <c r="AL4" s="115" t="e">
        <f>Tabulka59121527333945515763697581[[#This Row],[Umístění]]</f>
        <v>#N/A</v>
      </c>
      <c r="AP4" s="1"/>
    </row>
    <row r="5" spans="1:42" ht="24.95" customHeight="1" x14ac:dyDescent="0.4">
      <c r="B5" s="6"/>
      <c r="C5" s="1" t="str">
        <f>IF(Tabulka17101325313743495561677379[[#This Row],[ ]]="","",IF(Tabulka17101325313743495561677379[[#This Row],[ ]]="NEÚČAST","",IF(OR(Tabulka17101325313743495561677379[Výsledný čas]="N",Tabulka17101325313743495561677379[Výsledný čas]="D"),$L$4-$L$5,_xlfn.RANK.EQ(Tabulka17101325313743495561677379[[#This Row],[ ]],Tabulka17101325313743495561677379[[ ]],1))))</f>
        <v/>
      </c>
      <c r="D5" s="7"/>
      <c r="E5" s="8"/>
      <c r="F5" s="8"/>
      <c r="G5" s="9" t="str">
        <f>IF(OR(Tabulka17101325313743495561677379[[#This Row],[LP]]="N",Tabulka17101325313743495561677379[[#This Row],[PP]]="N"),"N",IF(OR(Tabulka17101325313743495561677379[[#This Row],[LP]]="D",Tabulka17101325313743495561677379[[#This Row],[PP]]="D"),"D",IF(OR(Tabulka17101325313743495561677379[[#This Row],[LP]]="NEÚČAST",Tabulka17101325313743495561677379[[#This Row],[PP]]="NEÚČAST"),"NEÚČAST",IF(OR(Tabulka17101325313743495561677379[[#This Row],[LP]]="",Tabulka17101325313743495561677379[[#This Row],[PP]]=""),"",MAX(Tabulka17101325313743495561677379[[#This Row],[LP]:[PP]])))))</f>
        <v/>
      </c>
      <c r="H5" s="1">
        <f>COUNTIF(Tabulka17101325313743495561677379[[#This Row],[Tým]],"*")</f>
        <v>0</v>
      </c>
      <c r="I5" s="1">
        <f>COUNTIF(Tabulka17101325313743495561677379[[#This Row],[Výsledný čas]],"NEÚČAST")</f>
        <v>0</v>
      </c>
      <c r="J5" s="1" t="str">
        <f>IF(Tabulka17101325313743495561677379[[#This Row],[Výsledný čas]]="N",998,IF(Tabulka17101325313743495561677379[[#This Row],[Výsledný čas]]="D",998,IF(Tabulka17101325313743495561677379[[#This Row],[Výsledný čas]]="","",Tabulka17101325313743495561677379[[#This Row],[Výsledný čas]])))</f>
        <v/>
      </c>
      <c r="L5" s="1">
        <f>SUM(Tabulka17101325313743495561677379[Sloupec2])</f>
        <v>0</v>
      </c>
      <c r="N5" s="30"/>
      <c r="O5" s="25" t="str">
        <f>IF(Tabulka171013630364248546066727884[[#This Row],[ ]]="","",IF(Tabulka171013630364248546066727884[[#This Row],[ ]]="NEÚČAST","",IF(OR(Tabulka171013630364248546066727884[Výsledný čas]="N",Tabulka171013630364248546066727884[Výsledný čas]="D"),$X$4-$X$5,_xlfn.RANK.EQ(Tabulka171013630364248546066727884[[#This Row],[ ]],Tabulka171013630364248546066727884[[ ]],1))))</f>
        <v/>
      </c>
      <c r="P5" s="26"/>
      <c r="Q5" s="5"/>
      <c r="R5" s="5"/>
      <c r="S5" s="29" t="str">
        <f>IF(OR(Tabulka171013630364248546066727884[[#This Row],[LP]]="N",Tabulka171013630364248546066727884[[#This Row],[PP]]="N"),"N",IF(OR(Tabulka171013630364248546066727884[[#This Row],[LP]]="D",Tabulka171013630364248546066727884[[#This Row],[PP]]="D"),"D",IF(OR(Tabulka171013630364248546066727884[[#This Row],[LP]]="NEÚČAST",Tabulka171013630364248546066727884[[#This Row],[PP]]="NEÚČAST"),"NEÚČAST",IF(OR(Tabulka171013630364248546066727884[[#This Row],[LP]]="",Tabulka171013630364248546066727884[[#This Row],[PP]]=""),"",MAX(Tabulka171013630364248546066727884[[#This Row],[LP]:[PP]])))))</f>
        <v/>
      </c>
      <c r="T5" s="88">
        <f>COUNTIF(Tabulka171013630364248546066727884[[#This Row],[Tým]],"*")</f>
        <v>0</v>
      </c>
      <c r="U5" s="88">
        <f>COUNTIF(Tabulka171013630364248546066727884[[#This Row],[Výsledný čas]],"NEÚČAST")</f>
        <v>0</v>
      </c>
      <c r="V5" s="88" t="str">
        <f>IF(Tabulka171013630364248546066727884[[#This Row],[Výsledný čas]]="N",998,IF(Tabulka171013630364248546066727884[[#This Row],[Výsledný čas]]="D",998,IF(Tabulka171013630364248546066727884[[#This Row],[Výsledný čas]]="","",Tabulka171013630364248546066727884[[#This Row],[Výsledný čas]])))</f>
        <v/>
      </c>
      <c r="X5" s="1">
        <f>SUM(Tabulka171013630364248546066727884[Sloupec2])</f>
        <v>0</v>
      </c>
      <c r="Y5" s="15"/>
      <c r="Z5" s="31" t="e">
        <f>IF(OR(Tabulka38111426323844505662687480[Výsledný čas]="N",Tabulka38111426323844505662687480[Výsledný čas]="D",Tabulka38111426323844505662687480[Výsledný čas]="NEÚČAST"),Uvod!$E$4,_xlfn.RANK.EQ(Tabulka38111426323844505662687480[[#This Row],[ ]],Tabulka38111426323844505662687480[[ ]],1))</f>
        <v>#N/A</v>
      </c>
      <c r="AA5" s="51" t="s">
        <v>30</v>
      </c>
      <c r="AB5" s="44" t="e">
        <f>VLOOKUP(Tabulka38111426323844505662687480[[#This Row],[Tým]],Tabulka17101325313743495561677379[[Tým]:[ ]],2,FALSE)</f>
        <v>#N/A</v>
      </c>
      <c r="AC5" s="44" t="e">
        <f>VLOOKUP(Tabulka38111426323844505662687480[[#This Row],[Tým]],Tabulka17101325313743495561677379[[Tým]:[ ]],3,FALSE)</f>
        <v>#N/A</v>
      </c>
      <c r="AD5" s="25" t="e">
        <f>VLOOKUP(Tabulka38111426323844505662687480[[#This Row],[Tým]],Tabulka17101325313743495561677379[[Tým]:[ ]],4,FALSE)</f>
        <v>#N/A</v>
      </c>
      <c r="AE5" s="25" t="e">
        <f>VLOOKUP(Tabulka38111426323844505662687480[[#This Row],[Tým]],Tabulka17101325313743495561677379[[Tým]:[ ]],7,FALSE)</f>
        <v>#N/A</v>
      </c>
      <c r="AF5" s="29" t="e">
        <f>IF(Tabulka38111426323844505662687480[[#This Row],[Výsledný čas]]="N",5,IF(Tabulka38111426323844505662687480[[#This Row],[Výsledný čas]]="D",0,IF(Tabulka38111426323844505662687480[[#This Row],[Výsledný čas]]="NEÚČAST",0,Tabulka4[[#Totals],[Týmy muži]]+6-Tabulka38111426323844505662687480[[#This Row],[Umístění]])))</f>
        <v>#N/A</v>
      </c>
      <c r="AH5" s="31" t="e">
        <f>_xlfn.RANK.EQ(Tabulka59121527333945515763697581[[#This Row],[Body]],Tabulka59121527333945515763697581[Body],0)</f>
        <v>#N/A</v>
      </c>
      <c r="AI5" s="51" t="s">
        <v>30</v>
      </c>
      <c r="AJ5" s="29" t="e">
        <f>VLOOKUP(Tabulka59121527333945515763697581[[#This Row],[Tým]],Tabulka38111426323844505662687480[[Tým]:[Body]],6,FALSE)+Tabulka59121527333945515763697581[[#This Row],[ ]]</f>
        <v>#N/A</v>
      </c>
      <c r="AK5" s="75" t="e">
        <f>VLOOKUP(Tabulka59121527333945515763697581[[#This Row],[Tým]],Tabulka591215273339455157636975[[Tým]:[Body]],2,FALSE)</f>
        <v>#N/A</v>
      </c>
      <c r="AL5" s="75" t="e">
        <f>Tabulka59121527333945515763697581[[#This Row],[Umístění]]</f>
        <v>#N/A</v>
      </c>
      <c r="AP5" s="1"/>
    </row>
    <row r="6" spans="1:42" ht="24.95" customHeight="1" x14ac:dyDescent="0.4">
      <c r="B6" s="6"/>
      <c r="C6" s="1" t="str">
        <f>IF(Tabulka17101325313743495561677379[[#This Row],[ ]]="","",IF(Tabulka17101325313743495561677379[[#This Row],[ ]]="NEÚČAST","",IF(OR(Tabulka17101325313743495561677379[Výsledný čas]="N",Tabulka17101325313743495561677379[Výsledný čas]="D"),$L$4-$L$5,_xlfn.RANK.EQ(Tabulka17101325313743495561677379[[#This Row],[ ]],Tabulka17101325313743495561677379[[ ]],1))))</f>
        <v/>
      </c>
      <c r="D6" s="7"/>
      <c r="E6" s="8"/>
      <c r="F6" s="8"/>
      <c r="G6" s="9" t="str">
        <f>IF(OR(Tabulka17101325313743495561677379[[#This Row],[LP]]="N",Tabulka17101325313743495561677379[[#This Row],[PP]]="N"),"N",IF(OR(Tabulka17101325313743495561677379[[#This Row],[LP]]="D",Tabulka17101325313743495561677379[[#This Row],[PP]]="D"),"D",IF(OR(Tabulka17101325313743495561677379[[#This Row],[LP]]="NEÚČAST",Tabulka17101325313743495561677379[[#This Row],[PP]]="NEÚČAST"),"NEÚČAST",IF(OR(Tabulka17101325313743495561677379[[#This Row],[LP]]="",Tabulka17101325313743495561677379[[#This Row],[PP]]=""),"",MAX(Tabulka17101325313743495561677379[[#This Row],[LP]:[PP]])))))</f>
        <v/>
      </c>
      <c r="H6" s="1">
        <f>COUNTIF(Tabulka17101325313743495561677379[[#This Row],[Tým]],"*")</f>
        <v>0</v>
      </c>
      <c r="I6" s="1">
        <f>COUNTIF(Tabulka17101325313743495561677379[[#This Row],[Výsledný čas]],"NEÚČAST")</f>
        <v>0</v>
      </c>
      <c r="J6" s="1" t="str">
        <f>IF(Tabulka17101325313743495561677379[[#This Row],[Výsledný čas]]="N",998,IF(Tabulka17101325313743495561677379[[#This Row],[Výsledný čas]]="D",998,IF(Tabulka17101325313743495561677379[[#This Row],[Výsledný čas]]="","",Tabulka17101325313743495561677379[[#This Row],[Výsledný čas]])))</f>
        <v/>
      </c>
      <c r="N6" s="30"/>
      <c r="O6" s="25" t="str">
        <f>IF(Tabulka171013630364248546066727884[[#This Row],[ ]]="","",IF(Tabulka171013630364248546066727884[[#This Row],[ ]]="NEÚČAST","",IF(OR(Tabulka171013630364248546066727884[Výsledný čas]="N",Tabulka171013630364248546066727884[Výsledný čas]="D"),$X$4-$X$5,_xlfn.RANK.EQ(Tabulka171013630364248546066727884[[#This Row],[ ]],Tabulka171013630364248546066727884[[ ]],1))))</f>
        <v/>
      </c>
      <c r="P6" s="26"/>
      <c r="Q6" s="5"/>
      <c r="R6" s="5"/>
      <c r="S6" s="29" t="str">
        <f>IF(OR(Tabulka171013630364248546066727884[[#This Row],[LP]]="N",Tabulka171013630364248546066727884[[#This Row],[PP]]="N"),"N",IF(OR(Tabulka171013630364248546066727884[[#This Row],[LP]]="D",Tabulka171013630364248546066727884[[#This Row],[PP]]="D"),"D",IF(OR(Tabulka171013630364248546066727884[[#This Row],[LP]]="NEÚČAST",Tabulka171013630364248546066727884[[#This Row],[PP]]="NEÚČAST"),"NEÚČAST",IF(OR(Tabulka171013630364248546066727884[[#This Row],[LP]]="",Tabulka171013630364248546066727884[[#This Row],[PP]]=""),"",MAX(Tabulka171013630364248546066727884[[#This Row],[LP]:[PP]])))))</f>
        <v/>
      </c>
      <c r="T6" s="88">
        <f>COUNTIF(Tabulka171013630364248546066727884[[#This Row],[Tým]],"*")</f>
        <v>0</v>
      </c>
      <c r="U6" s="88">
        <f>COUNTIF(Tabulka171013630364248546066727884[[#This Row],[Výsledný čas]],"NEÚČAST")</f>
        <v>0</v>
      </c>
      <c r="V6" s="88" t="str">
        <f>IF(Tabulka171013630364248546066727884[[#This Row],[Výsledný čas]]="N",998,IF(Tabulka171013630364248546066727884[[#This Row],[Výsledný čas]]="D",998,IF(Tabulka171013630364248546066727884[[#This Row],[Výsledný čas]]="","",Tabulka171013630364248546066727884[[#This Row],[Výsledný čas]])))</f>
        <v/>
      </c>
      <c r="Y6" s="15"/>
      <c r="Z6" s="31" t="e">
        <f>IF(OR(Tabulka38111426323844505662687480[Výsledný čas]="N",Tabulka38111426323844505662687480[Výsledný čas]="D",Tabulka38111426323844505662687480[Výsledný čas]="NEÚČAST"),Uvod!$E$4,_xlfn.RANK.EQ(Tabulka38111426323844505662687480[[#This Row],[ ]],Tabulka38111426323844505662687480[[ ]],1))</f>
        <v>#N/A</v>
      </c>
      <c r="AA6" s="51" t="s">
        <v>22</v>
      </c>
      <c r="AB6" s="44" t="e">
        <f>VLOOKUP(Tabulka38111426323844505662687480[[#This Row],[Tým]],Tabulka17101325313743495561677379[[Tým]:[ ]],2,FALSE)</f>
        <v>#N/A</v>
      </c>
      <c r="AC6" s="44" t="e">
        <f>VLOOKUP(Tabulka38111426323844505662687480[[#This Row],[Tým]],Tabulka17101325313743495561677379[[Tým]:[ ]],3,FALSE)</f>
        <v>#N/A</v>
      </c>
      <c r="AD6" s="25" t="e">
        <f>VLOOKUP(Tabulka38111426323844505662687480[[#This Row],[Tým]],Tabulka17101325313743495561677379[[Tým]:[ ]],4,FALSE)</f>
        <v>#N/A</v>
      </c>
      <c r="AE6" s="25" t="e">
        <f>VLOOKUP(Tabulka38111426323844505662687480[[#This Row],[Tým]],Tabulka17101325313743495561677379[[Tým]:[ ]],7,FALSE)</f>
        <v>#N/A</v>
      </c>
      <c r="AF6" s="29" t="e">
        <f>IF(Tabulka38111426323844505662687480[[#This Row],[Výsledný čas]]="N",5,IF(Tabulka38111426323844505662687480[[#This Row],[Výsledný čas]]="D",0,IF(Tabulka38111426323844505662687480[[#This Row],[Výsledný čas]]="NEÚČAST",0,Tabulka4[[#Totals],[Týmy muži]]+6-Tabulka38111426323844505662687480[[#This Row],[Umístění]])))</f>
        <v>#N/A</v>
      </c>
      <c r="AH6" s="31" t="e">
        <f>_xlfn.RANK.EQ(Tabulka59121527333945515763697581[[#This Row],[Body]],Tabulka59121527333945515763697581[Body],0)</f>
        <v>#N/A</v>
      </c>
      <c r="AI6" s="51" t="s">
        <v>22</v>
      </c>
      <c r="AJ6" s="29" t="e">
        <f>VLOOKUP(Tabulka59121527333945515763697581[[#This Row],[Tým]],Tabulka38111426323844505662687480[[Tým]:[Body]],6,FALSE)+Tabulka59121527333945515763697581[[#This Row],[ ]]</f>
        <v>#N/A</v>
      </c>
      <c r="AK6" s="75" t="e">
        <f>VLOOKUP(Tabulka59121527333945515763697581[[#This Row],[Tým]],Tabulka591215273339455157636975[[Tým]:[Body]],2,FALSE)</f>
        <v>#N/A</v>
      </c>
      <c r="AL6" s="75" t="e">
        <f>Tabulka59121527333945515763697581[[#This Row],[Umístění]]</f>
        <v>#N/A</v>
      </c>
      <c r="AP6" s="1"/>
    </row>
    <row r="7" spans="1:42" ht="24.95" customHeight="1" x14ac:dyDescent="0.4">
      <c r="B7" s="6"/>
      <c r="C7" s="1" t="str">
        <f>IF(Tabulka17101325313743495561677379[[#This Row],[ ]]="","",IF(Tabulka17101325313743495561677379[[#This Row],[ ]]="NEÚČAST","",IF(OR(Tabulka17101325313743495561677379[Výsledný čas]="N",Tabulka17101325313743495561677379[Výsledný čas]="D"),$L$4-$L$5,_xlfn.RANK.EQ(Tabulka17101325313743495561677379[[#This Row],[ ]],Tabulka17101325313743495561677379[[ ]],1))))</f>
        <v/>
      </c>
      <c r="D7" s="10"/>
      <c r="E7" s="8"/>
      <c r="F7" s="8"/>
      <c r="G7" s="9" t="str">
        <f>IF(OR(Tabulka17101325313743495561677379[[#This Row],[LP]]="N",Tabulka17101325313743495561677379[[#This Row],[PP]]="N"),"N",IF(OR(Tabulka17101325313743495561677379[[#This Row],[LP]]="D",Tabulka17101325313743495561677379[[#This Row],[PP]]="D"),"D",IF(OR(Tabulka17101325313743495561677379[[#This Row],[LP]]="NEÚČAST",Tabulka17101325313743495561677379[[#This Row],[PP]]="NEÚČAST"),"NEÚČAST",IF(OR(Tabulka17101325313743495561677379[[#This Row],[LP]]="",Tabulka17101325313743495561677379[[#This Row],[PP]]=""),"",MAX(Tabulka17101325313743495561677379[[#This Row],[LP]:[PP]])))))</f>
        <v/>
      </c>
      <c r="H7" s="1">
        <f>COUNTIF(Tabulka17101325313743495561677379[[#This Row],[Tým]],"*")</f>
        <v>0</v>
      </c>
      <c r="I7" s="1">
        <f>COUNTIF(Tabulka17101325313743495561677379[[#This Row],[Výsledný čas]],"NEÚČAST")</f>
        <v>0</v>
      </c>
      <c r="J7" s="1" t="str">
        <f>IF(Tabulka17101325313743495561677379[[#This Row],[Výsledný čas]]="N",998,IF(Tabulka17101325313743495561677379[[#This Row],[Výsledný čas]]="D",998,IF(Tabulka17101325313743495561677379[[#This Row],[Výsledný čas]]="","",Tabulka17101325313743495561677379[[#This Row],[Výsledný čas]])))</f>
        <v/>
      </c>
      <c r="N7" s="31"/>
      <c r="O7" s="25" t="str">
        <f>IF(Tabulka171013630364248546066727884[[#This Row],[ ]]="","",IF(Tabulka171013630364248546066727884[[#This Row],[ ]]="NEÚČAST","",IF(OR(Tabulka171013630364248546066727884[Výsledný čas]="N",Tabulka171013630364248546066727884[Výsledný čas]="D"),$X$4-$X$5,_xlfn.RANK.EQ(Tabulka171013630364248546066727884[[#This Row],[ ]],Tabulka171013630364248546066727884[[ ]],1))))</f>
        <v/>
      </c>
      <c r="P7" s="26"/>
      <c r="Q7" s="5"/>
      <c r="R7" s="5"/>
      <c r="S7" s="29" t="str">
        <f>IF(OR(Tabulka171013630364248546066727884[[#This Row],[LP]]="N",Tabulka171013630364248546066727884[[#This Row],[PP]]="N"),"N",IF(OR(Tabulka171013630364248546066727884[[#This Row],[LP]]="D",Tabulka171013630364248546066727884[[#This Row],[PP]]="D"),"D",IF(OR(Tabulka171013630364248546066727884[[#This Row],[LP]]="NEÚČAST",Tabulka171013630364248546066727884[[#This Row],[PP]]="NEÚČAST"),"NEÚČAST",IF(OR(Tabulka171013630364248546066727884[[#This Row],[LP]]="",Tabulka171013630364248546066727884[[#This Row],[PP]]=""),"",MAX(Tabulka171013630364248546066727884[[#This Row],[LP]:[PP]])))))</f>
        <v/>
      </c>
      <c r="T7" s="88">
        <f>COUNTIF(Tabulka171013630364248546066727884[[#This Row],[Tým]],"*")</f>
        <v>0</v>
      </c>
      <c r="U7" s="88">
        <f>COUNTIF(Tabulka171013630364248546066727884[[#This Row],[Výsledný čas]],"NEÚČAST")</f>
        <v>0</v>
      </c>
      <c r="V7" s="88" t="str">
        <f>IF(Tabulka171013630364248546066727884[[#This Row],[Výsledný čas]]="N",998,IF(Tabulka171013630364248546066727884[[#This Row],[Výsledný čas]]="D",998,IF(Tabulka171013630364248546066727884[[#This Row],[Výsledný čas]]="","",Tabulka171013630364248546066727884[[#This Row],[Výsledný čas]])))</f>
        <v/>
      </c>
      <c r="Y7" s="15"/>
      <c r="Z7" s="31" t="e">
        <f>IF(OR(Tabulka38111426323844505662687480[Výsledný čas]="N",Tabulka38111426323844505662687480[Výsledný čas]="D",Tabulka38111426323844505662687480[Výsledný čas]="NEÚČAST"),Uvod!$E$4,_xlfn.RANK.EQ(Tabulka38111426323844505662687480[[#This Row],[ ]],Tabulka38111426323844505662687480[[ ]],1))</f>
        <v>#N/A</v>
      </c>
      <c r="AA7" s="51" t="s">
        <v>20</v>
      </c>
      <c r="AB7" s="44" t="e">
        <f>VLOOKUP(Tabulka38111426323844505662687480[[#This Row],[Tým]],Tabulka17101325313743495561677379[[Tým]:[ ]],2,FALSE)</f>
        <v>#N/A</v>
      </c>
      <c r="AC7" s="44" t="e">
        <f>VLOOKUP(Tabulka38111426323844505662687480[[#This Row],[Tým]],Tabulka17101325313743495561677379[[Tým]:[ ]],3,FALSE)</f>
        <v>#N/A</v>
      </c>
      <c r="AD7" s="25" t="e">
        <f>VLOOKUP(Tabulka38111426323844505662687480[[#This Row],[Tým]],Tabulka17101325313743495561677379[[Tým]:[ ]],4,FALSE)</f>
        <v>#N/A</v>
      </c>
      <c r="AE7" s="25" t="e">
        <f>VLOOKUP(Tabulka38111426323844505662687480[[#This Row],[Tým]],Tabulka17101325313743495561677379[[Tým]:[ ]],7,FALSE)</f>
        <v>#N/A</v>
      </c>
      <c r="AF7" s="29" t="e">
        <f>IF(Tabulka38111426323844505662687480[[#This Row],[Výsledný čas]]="N",5,IF(Tabulka38111426323844505662687480[[#This Row],[Výsledný čas]]="D",0,IF(Tabulka38111426323844505662687480[[#This Row],[Výsledný čas]]="NEÚČAST",0,Tabulka4[[#Totals],[Týmy muži]]+6-Tabulka38111426323844505662687480[[#This Row],[Umístění]])))</f>
        <v>#N/A</v>
      </c>
      <c r="AH7" s="31" t="e">
        <f>_xlfn.RANK.EQ(Tabulka59121527333945515763697581[[#This Row],[Body]],Tabulka59121527333945515763697581[Body],0)</f>
        <v>#N/A</v>
      </c>
      <c r="AI7" s="51" t="s">
        <v>20</v>
      </c>
      <c r="AJ7" s="29" t="e">
        <f>VLOOKUP(Tabulka59121527333945515763697581[[#This Row],[Tým]],Tabulka38111426323844505662687480[[Tým]:[Body]],6,FALSE)+Tabulka59121527333945515763697581[[#This Row],[ ]]</f>
        <v>#N/A</v>
      </c>
      <c r="AK7" s="75" t="e">
        <f>VLOOKUP(Tabulka59121527333945515763697581[[#This Row],[Tým]],Tabulka591215273339455157636975[[Tým]:[Body]],2,FALSE)</f>
        <v>#N/A</v>
      </c>
      <c r="AL7" s="75" t="e">
        <f>Tabulka59121527333945515763697581[[#This Row],[Umístění]]</f>
        <v>#N/A</v>
      </c>
      <c r="AP7" s="1"/>
    </row>
    <row r="8" spans="1:42" ht="24.95" customHeight="1" x14ac:dyDescent="0.4">
      <c r="B8" s="6"/>
      <c r="C8" s="1" t="str">
        <f>IF(Tabulka17101325313743495561677379[[#This Row],[ ]]="","",IF(Tabulka17101325313743495561677379[[#This Row],[ ]]="NEÚČAST","",IF(OR(Tabulka17101325313743495561677379[Výsledný čas]="N",Tabulka17101325313743495561677379[Výsledný čas]="D"),$L$4-$L$5,_xlfn.RANK.EQ(Tabulka17101325313743495561677379[[#This Row],[ ]],Tabulka17101325313743495561677379[[ ]],1))))</f>
        <v/>
      </c>
      <c r="D8" s="7"/>
      <c r="E8" s="8"/>
      <c r="F8" s="8"/>
      <c r="G8" s="9" t="str">
        <f>IF(OR(Tabulka17101325313743495561677379[[#This Row],[LP]]="N",Tabulka17101325313743495561677379[[#This Row],[PP]]="N"),"N",IF(OR(Tabulka17101325313743495561677379[[#This Row],[LP]]="D",Tabulka17101325313743495561677379[[#This Row],[PP]]="D"),"D",IF(OR(Tabulka17101325313743495561677379[[#This Row],[LP]]="NEÚČAST",Tabulka17101325313743495561677379[[#This Row],[PP]]="NEÚČAST"),"NEÚČAST",IF(OR(Tabulka17101325313743495561677379[[#This Row],[LP]]="",Tabulka17101325313743495561677379[[#This Row],[PP]]=""),"",MAX(Tabulka17101325313743495561677379[[#This Row],[LP]:[PP]])))))</f>
        <v/>
      </c>
      <c r="H8" s="1">
        <f>COUNTIF(Tabulka17101325313743495561677379[[#This Row],[Tým]],"*")</f>
        <v>0</v>
      </c>
      <c r="I8" s="1">
        <f>COUNTIF(Tabulka17101325313743495561677379[[#This Row],[Výsledný čas]],"NEÚČAST")</f>
        <v>0</v>
      </c>
      <c r="J8" s="1" t="str">
        <f>IF(Tabulka17101325313743495561677379[[#This Row],[Výsledný čas]]="N",998,IF(Tabulka17101325313743495561677379[[#This Row],[Výsledný čas]]="D",998,IF(Tabulka17101325313743495561677379[[#This Row],[Výsledný čas]]="","",Tabulka17101325313743495561677379[[#This Row],[Výsledný čas]])))</f>
        <v/>
      </c>
      <c r="N8" s="31"/>
      <c r="O8" s="25" t="str">
        <f>IF(Tabulka171013630364248546066727884[[#This Row],[ ]]="","",IF(Tabulka171013630364248546066727884[[#This Row],[ ]]="NEÚČAST","",IF(OR(Tabulka171013630364248546066727884[Výsledný čas]="N",Tabulka171013630364248546066727884[Výsledný čas]="D"),$X$4-$X$5,_xlfn.RANK.EQ(Tabulka171013630364248546066727884[[#This Row],[ ]],Tabulka171013630364248546066727884[[ ]],1))))</f>
        <v/>
      </c>
      <c r="P8" s="26"/>
      <c r="Q8" s="5"/>
      <c r="R8" s="5"/>
      <c r="S8" s="29" t="str">
        <f>IF(OR(Tabulka171013630364248546066727884[[#This Row],[LP]]="N",Tabulka171013630364248546066727884[[#This Row],[PP]]="N"),"N",IF(OR(Tabulka171013630364248546066727884[[#This Row],[LP]]="D",Tabulka171013630364248546066727884[[#This Row],[PP]]="D"),"D",IF(OR(Tabulka171013630364248546066727884[[#This Row],[LP]]="NEÚČAST",Tabulka171013630364248546066727884[[#This Row],[PP]]="NEÚČAST"),"NEÚČAST",IF(OR(Tabulka171013630364248546066727884[[#This Row],[LP]]="",Tabulka171013630364248546066727884[[#This Row],[PP]]=""),"",MAX(Tabulka171013630364248546066727884[[#This Row],[LP]:[PP]])))))</f>
        <v/>
      </c>
      <c r="T8" s="88">
        <f>COUNTIF(Tabulka171013630364248546066727884[[#This Row],[Tým]],"*")</f>
        <v>0</v>
      </c>
      <c r="U8" s="88">
        <f>COUNTIF(Tabulka171013630364248546066727884[[#This Row],[Výsledný čas]],"NEÚČAST")</f>
        <v>0</v>
      </c>
      <c r="V8" s="88" t="str">
        <f>IF(Tabulka171013630364248546066727884[[#This Row],[Výsledný čas]]="N",998,IF(Tabulka171013630364248546066727884[[#This Row],[Výsledný čas]]="D",998,IF(Tabulka171013630364248546066727884[[#This Row],[Výsledný čas]]="","",Tabulka171013630364248546066727884[[#This Row],[Výsledný čas]])))</f>
        <v/>
      </c>
      <c r="Y8" s="15"/>
      <c r="Z8" s="31" t="e">
        <f>IF(OR(Tabulka38111426323844505662687480[Výsledný čas]="N",Tabulka38111426323844505662687480[Výsledný čas]="D",Tabulka38111426323844505662687480[Výsledný čas]="NEÚČAST"),Uvod!$E$4,_xlfn.RANK.EQ(Tabulka38111426323844505662687480[[#This Row],[ ]],Tabulka38111426323844505662687480[[ ]],1))</f>
        <v>#N/A</v>
      </c>
      <c r="AA8" s="51" t="s">
        <v>11</v>
      </c>
      <c r="AB8" s="44" t="e">
        <f>VLOOKUP(Tabulka38111426323844505662687480[[#This Row],[Tým]],Tabulka17101325313743495561677379[[Tým]:[ ]],2,FALSE)</f>
        <v>#N/A</v>
      </c>
      <c r="AC8" s="44" t="e">
        <f>VLOOKUP(Tabulka38111426323844505662687480[[#This Row],[Tým]],Tabulka17101325313743495561677379[[Tým]:[ ]],3,FALSE)</f>
        <v>#N/A</v>
      </c>
      <c r="AD8" s="25" t="e">
        <f>VLOOKUP(Tabulka38111426323844505662687480[[#This Row],[Tým]],Tabulka17101325313743495561677379[[Tým]:[ ]],4,FALSE)</f>
        <v>#N/A</v>
      </c>
      <c r="AE8" s="25" t="e">
        <f>VLOOKUP(Tabulka38111426323844505662687480[[#This Row],[Tým]],Tabulka17101325313743495561677379[[Tým]:[ ]],7,FALSE)</f>
        <v>#N/A</v>
      </c>
      <c r="AF8" s="29" t="e">
        <f>IF(Tabulka38111426323844505662687480[[#This Row],[Výsledný čas]]="N",5,IF(Tabulka38111426323844505662687480[[#This Row],[Výsledný čas]]="D",0,IF(Tabulka38111426323844505662687480[[#This Row],[Výsledný čas]]="NEÚČAST",0,Tabulka4[[#Totals],[Týmy muži]]+6-Tabulka38111426323844505662687480[[#This Row],[Umístění]])))</f>
        <v>#N/A</v>
      </c>
      <c r="AH8" s="31" t="e">
        <f>_xlfn.RANK.EQ(Tabulka59121527333945515763697581[[#This Row],[Body]],Tabulka59121527333945515763697581[Body],0)</f>
        <v>#N/A</v>
      </c>
      <c r="AI8" s="51" t="s">
        <v>11</v>
      </c>
      <c r="AJ8" s="29" t="e">
        <f>VLOOKUP(Tabulka59121527333945515763697581[[#This Row],[Tým]],Tabulka38111426323844505662687480[[Tým]:[Body]],6,FALSE)+Tabulka59121527333945515763697581[[#This Row],[ ]]</f>
        <v>#N/A</v>
      </c>
      <c r="AK8" s="75" t="e">
        <f>VLOOKUP(Tabulka59121527333945515763697581[[#This Row],[Tým]],Tabulka591215273339455157636975[[Tým]:[Body]],2,FALSE)</f>
        <v>#N/A</v>
      </c>
      <c r="AL8" s="75" t="e">
        <f>Tabulka59121527333945515763697581[[#This Row],[Umístění]]</f>
        <v>#N/A</v>
      </c>
      <c r="AP8" s="1"/>
    </row>
    <row r="9" spans="1:42" ht="24.95" customHeight="1" x14ac:dyDescent="0.4">
      <c r="B9" s="11"/>
      <c r="C9" s="1" t="str">
        <f>IF(Tabulka17101325313743495561677379[[#This Row],[ ]]="","",IF(Tabulka17101325313743495561677379[[#This Row],[ ]]="NEÚČAST","",IF(OR(Tabulka17101325313743495561677379[Výsledný čas]="N",Tabulka17101325313743495561677379[Výsledný čas]="D"),$L$4-$L$5,_xlfn.RANK.EQ(Tabulka17101325313743495561677379[[#This Row],[ ]],Tabulka17101325313743495561677379[[ ]],1))))</f>
        <v/>
      </c>
      <c r="D9" s="7"/>
      <c r="E9" s="8"/>
      <c r="F9" s="8"/>
      <c r="G9" s="9" t="str">
        <f>IF(OR(Tabulka17101325313743495561677379[[#This Row],[LP]]="N",Tabulka17101325313743495561677379[[#This Row],[PP]]="N"),"N",IF(OR(Tabulka17101325313743495561677379[[#This Row],[LP]]="D",Tabulka17101325313743495561677379[[#This Row],[PP]]="D"),"D",IF(OR(Tabulka17101325313743495561677379[[#This Row],[LP]]="NEÚČAST",Tabulka17101325313743495561677379[[#This Row],[PP]]="NEÚČAST"),"NEÚČAST",IF(OR(Tabulka17101325313743495561677379[[#This Row],[LP]]="",Tabulka17101325313743495561677379[[#This Row],[PP]]=""),"",MAX(Tabulka17101325313743495561677379[[#This Row],[LP]:[PP]])))))</f>
        <v/>
      </c>
      <c r="H9" s="1">
        <f>COUNTIF(Tabulka17101325313743495561677379[[#This Row],[Tým]],"*")</f>
        <v>0</v>
      </c>
      <c r="I9" s="1">
        <f>COUNTIF(Tabulka17101325313743495561677379[[#This Row],[Výsledný čas]],"NEÚČAST")</f>
        <v>0</v>
      </c>
      <c r="J9" s="1" t="str">
        <f>IF(Tabulka17101325313743495561677379[[#This Row],[Výsledný čas]]="N",998,IF(Tabulka17101325313743495561677379[[#This Row],[Výsledný čas]]="D",998,IF(Tabulka17101325313743495561677379[[#This Row],[Výsledný čas]]="","",Tabulka17101325313743495561677379[[#This Row],[Výsledný čas]])))</f>
        <v/>
      </c>
      <c r="N9" s="30"/>
      <c r="O9" s="25" t="str">
        <f>IF(Tabulka171013630364248546066727884[[#This Row],[ ]]="","",IF(Tabulka171013630364248546066727884[[#This Row],[ ]]="NEÚČAST","",IF(OR(Tabulka171013630364248546066727884[Výsledný čas]="N",Tabulka171013630364248546066727884[Výsledný čas]="D"),$X$4-$X$5,_xlfn.RANK.EQ(Tabulka171013630364248546066727884[[#This Row],[ ]],Tabulka171013630364248546066727884[[ ]],1))))</f>
        <v/>
      </c>
      <c r="P9" s="26"/>
      <c r="Q9" s="5"/>
      <c r="R9" s="5"/>
      <c r="S9" s="29" t="str">
        <f>IF(OR(Tabulka171013630364248546066727884[[#This Row],[LP]]="N",Tabulka171013630364248546066727884[[#This Row],[PP]]="N"),"N",IF(OR(Tabulka171013630364248546066727884[[#This Row],[LP]]="D",Tabulka171013630364248546066727884[[#This Row],[PP]]="D"),"D",IF(OR(Tabulka171013630364248546066727884[[#This Row],[LP]]="NEÚČAST",Tabulka171013630364248546066727884[[#This Row],[PP]]="NEÚČAST"),"NEÚČAST",IF(OR(Tabulka171013630364248546066727884[[#This Row],[LP]]="",Tabulka171013630364248546066727884[[#This Row],[PP]]=""),"",MAX(Tabulka171013630364248546066727884[[#This Row],[LP]:[PP]])))))</f>
        <v/>
      </c>
      <c r="T9" s="88">
        <f>COUNTIF(Tabulka171013630364248546066727884[[#This Row],[Tým]],"*")</f>
        <v>0</v>
      </c>
      <c r="U9" s="88">
        <f>COUNTIF(Tabulka171013630364248546066727884[[#This Row],[Výsledný čas]],"NEÚČAST")</f>
        <v>0</v>
      </c>
      <c r="V9" s="88" t="str">
        <f>IF(Tabulka171013630364248546066727884[[#This Row],[Výsledný čas]]="N",998,IF(Tabulka171013630364248546066727884[[#This Row],[Výsledný čas]]="D",998,IF(Tabulka171013630364248546066727884[[#This Row],[Výsledný čas]]="","",Tabulka171013630364248546066727884[[#This Row],[Výsledný čas]])))</f>
        <v/>
      </c>
      <c r="Y9" s="15"/>
      <c r="Z9" s="31" t="e">
        <f>IF(OR(Tabulka38111426323844505662687480[Výsledný čas]="N",Tabulka38111426323844505662687480[Výsledný čas]="D",Tabulka38111426323844505662687480[Výsledný čas]="NEÚČAST"),Uvod!$E$4,_xlfn.RANK.EQ(Tabulka38111426323844505662687480[[#This Row],[ ]],Tabulka38111426323844505662687480[[ ]],1))</f>
        <v>#N/A</v>
      </c>
      <c r="AA9" s="51" t="s">
        <v>15</v>
      </c>
      <c r="AB9" s="44" t="e">
        <f>VLOOKUP(Tabulka38111426323844505662687480[[#This Row],[Tým]],Tabulka17101325313743495561677379[[Tým]:[ ]],2,FALSE)</f>
        <v>#N/A</v>
      </c>
      <c r="AC9" s="44" t="e">
        <f>VLOOKUP(Tabulka38111426323844505662687480[[#This Row],[Tým]],Tabulka17101325313743495561677379[[Tým]:[ ]],3,FALSE)</f>
        <v>#N/A</v>
      </c>
      <c r="AD9" s="25" t="e">
        <f>VLOOKUP(Tabulka38111426323844505662687480[[#This Row],[Tým]],Tabulka17101325313743495561677379[[Tým]:[ ]],4,FALSE)</f>
        <v>#N/A</v>
      </c>
      <c r="AE9" s="25" t="e">
        <f>VLOOKUP(Tabulka38111426323844505662687480[[#This Row],[Tým]],Tabulka17101325313743495561677379[[Tým]:[ ]],7,FALSE)</f>
        <v>#N/A</v>
      </c>
      <c r="AF9" s="29" t="e">
        <f>IF(Tabulka38111426323844505662687480[[#This Row],[Výsledný čas]]="N",5,IF(Tabulka38111426323844505662687480[[#This Row],[Výsledný čas]]="D",0,IF(Tabulka38111426323844505662687480[[#This Row],[Výsledný čas]]="NEÚČAST",0,Tabulka4[[#Totals],[Týmy muži]]+6-Tabulka38111426323844505662687480[[#This Row],[Umístění]])))</f>
        <v>#N/A</v>
      </c>
      <c r="AH9" s="31" t="e">
        <f>_xlfn.RANK.EQ(Tabulka59121527333945515763697581[[#This Row],[Body]],Tabulka59121527333945515763697581[Body],0)</f>
        <v>#N/A</v>
      </c>
      <c r="AI9" s="51" t="s">
        <v>15</v>
      </c>
      <c r="AJ9" s="29" t="e">
        <f>VLOOKUP(Tabulka59121527333945515763697581[[#This Row],[Tým]],Tabulka38111426323844505662687480[[Tým]:[Body]],6,FALSE)+Tabulka59121527333945515763697581[[#This Row],[ ]]</f>
        <v>#N/A</v>
      </c>
      <c r="AK9" s="75" t="e">
        <f>VLOOKUP(Tabulka59121527333945515763697581[[#This Row],[Tým]],Tabulka591215273339455157636975[[Tým]:[Body]],2,FALSE)</f>
        <v>#N/A</v>
      </c>
      <c r="AL9" s="75" t="e">
        <f>Tabulka59121527333945515763697581[[#This Row],[Umístění]]</f>
        <v>#N/A</v>
      </c>
      <c r="AP9" s="1"/>
    </row>
    <row r="10" spans="1:42" ht="24.95" customHeight="1" x14ac:dyDescent="0.4">
      <c r="B10" s="6"/>
      <c r="C10" s="1" t="str">
        <f>IF(Tabulka17101325313743495561677379[[#This Row],[ ]]="","",IF(Tabulka17101325313743495561677379[[#This Row],[ ]]="NEÚČAST","",IF(OR(Tabulka17101325313743495561677379[Výsledný čas]="N",Tabulka17101325313743495561677379[Výsledný čas]="D"),$L$4-$L$5,_xlfn.RANK.EQ(Tabulka17101325313743495561677379[[#This Row],[ ]],Tabulka17101325313743495561677379[[ ]],1))))</f>
        <v/>
      </c>
      <c r="D10" s="7"/>
      <c r="E10" s="8"/>
      <c r="F10" s="8"/>
      <c r="G10" s="9" t="str">
        <f>IF(OR(Tabulka17101325313743495561677379[[#This Row],[LP]]="N",Tabulka17101325313743495561677379[[#This Row],[PP]]="N"),"N",IF(OR(Tabulka17101325313743495561677379[[#This Row],[LP]]="D",Tabulka17101325313743495561677379[[#This Row],[PP]]="D"),"D",IF(OR(Tabulka17101325313743495561677379[[#This Row],[LP]]="NEÚČAST",Tabulka17101325313743495561677379[[#This Row],[PP]]="NEÚČAST"),"NEÚČAST",IF(OR(Tabulka17101325313743495561677379[[#This Row],[LP]]="",Tabulka17101325313743495561677379[[#This Row],[PP]]=""),"",MAX(Tabulka17101325313743495561677379[[#This Row],[LP]:[PP]])))))</f>
        <v/>
      </c>
      <c r="H10" s="1">
        <f>COUNTIF(Tabulka17101325313743495561677379[[#This Row],[Tým]],"*")</f>
        <v>0</v>
      </c>
      <c r="I10" s="1">
        <f>COUNTIF(Tabulka17101325313743495561677379[[#This Row],[Výsledný čas]],"NEÚČAST")</f>
        <v>0</v>
      </c>
      <c r="J10" s="1" t="str">
        <f>IF(Tabulka17101325313743495561677379[[#This Row],[Výsledný čas]]="N",998,IF(Tabulka17101325313743495561677379[[#This Row],[Výsledný čas]]="D",998,IF(Tabulka17101325313743495561677379[[#This Row],[Výsledný čas]]="","",Tabulka17101325313743495561677379[[#This Row],[Výsledný čas]])))</f>
        <v/>
      </c>
      <c r="N10" s="30"/>
      <c r="O10" s="25" t="str">
        <f>IF(Tabulka171013630364248546066727884[[#This Row],[ ]]="","",IF(Tabulka171013630364248546066727884[[#This Row],[ ]]="NEÚČAST","",IF(OR(Tabulka171013630364248546066727884[Výsledný čas]="N",Tabulka171013630364248546066727884[Výsledný čas]="D"),$X$4-$X$5,_xlfn.RANK.EQ(Tabulka171013630364248546066727884[[#This Row],[ ]],Tabulka171013630364248546066727884[[ ]],1))))</f>
        <v/>
      </c>
      <c r="P10" s="26"/>
      <c r="Q10" s="5"/>
      <c r="R10" s="5"/>
      <c r="S10" s="29" t="str">
        <f>IF(OR(Tabulka171013630364248546066727884[[#This Row],[LP]]="N",Tabulka171013630364248546066727884[[#This Row],[PP]]="N"),"N",IF(OR(Tabulka171013630364248546066727884[[#This Row],[LP]]="D",Tabulka171013630364248546066727884[[#This Row],[PP]]="D"),"D",IF(OR(Tabulka171013630364248546066727884[[#This Row],[LP]]="NEÚČAST",Tabulka171013630364248546066727884[[#This Row],[PP]]="NEÚČAST"),"NEÚČAST",IF(OR(Tabulka171013630364248546066727884[[#This Row],[LP]]="",Tabulka171013630364248546066727884[[#This Row],[PP]]=""),"",MAX(Tabulka171013630364248546066727884[[#This Row],[LP]:[PP]])))))</f>
        <v/>
      </c>
      <c r="T10" s="88">
        <f>COUNTIF(Tabulka171013630364248546066727884[[#This Row],[Tým]],"*")</f>
        <v>0</v>
      </c>
      <c r="U10" s="88">
        <f>COUNTIF(Tabulka171013630364248546066727884[[#This Row],[Výsledný čas]],"NEÚČAST")</f>
        <v>0</v>
      </c>
      <c r="V10" s="88" t="str">
        <f>IF(Tabulka171013630364248546066727884[[#This Row],[Výsledný čas]]="N",998,IF(Tabulka171013630364248546066727884[[#This Row],[Výsledný čas]]="D",998,IF(Tabulka171013630364248546066727884[[#This Row],[Výsledný čas]]="","",Tabulka171013630364248546066727884[[#This Row],[Výsledný čas]])))</f>
        <v/>
      </c>
      <c r="Y10" s="15"/>
      <c r="Z10" s="31" t="e">
        <f>IF(OR(Tabulka38111426323844505662687480[Výsledný čas]="N",Tabulka38111426323844505662687480[Výsledný čas]="D",Tabulka38111426323844505662687480[Výsledný čas]="NEÚČAST"),Uvod!$E$4,_xlfn.RANK.EQ(Tabulka38111426323844505662687480[[#This Row],[ ]],Tabulka38111426323844505662687480[[ ]],1))</f>
        <v>#N/A</v>
      </c>
      <c r="AA10" s="51" t="s">
        <v>10</v>
      </c>
      <c r="AB10" s="44" t="e">
        <f>VLOOKUP(Tabulka38111426323844505662687480[[#This Row],[Tým]],Tabulka17101325313743495561677379[[Tým]:[ ]],2,FALSE)</f>
        <v>#N/A</v>
      </c>
      <c r="AC10" s="44" t="e">
        <f>VLOOKUP(Tabulka38111426323844505662687480[[#This Row],[Tým]],Tabulka17101325313743495561677379[[Tým]:[ ]],3,FALSE)</f>
        <v>#N/A</v>
      </c>
      <c r="AD10" s="25" t="e">
        <f>VLOOKUP(Tabulka38111426323844505662687480[[#This Row],[Tým]],Tabulka17101325313743495561677379[[Tým]:[ ]],4,FALSE)</f>
        <v>#N/A</v>
      </c>
      <c r="AE10" s="25" t="e">
        <f>VLOOKUP(Tabulka38111426323844505662687480[[#This Row],[Tým]],Tabulka17101325313743495561677379[[Tým]:[ ]],7,FALSE)</f>
        <v>#N/A</v>
      </c>
      <c r="AF10" s="29" t="e">
        <f>IF(Tabulka38111426323844505662687480[[#This Row],[Výsledný čas]]="N",5,IF(Tabulka38111426323844505662687480[[#This Row],[Výsledný čas]]="D",0,IF(Tabulka38111426323844505662687480[[#This Row],[Výsledný čas]]="NEÚČAST",0,Tabulka4[[#Totals],[Týmy muži]]+6-Tabulka38111426323844505662687480[[#This Row],[Umístění]])))</f>
        <v>#N/A</v>
      </c>
      <c r="AH10" s="31" t="e">
        <f>_xlfn.RANK.EQ(Tabulka59121527333945515763697581[[#This Row],[Body]],Tabulka59121527333945515763697581[Body],0)</f>
        <v>#N/A</v>
      </c>
      <c r="AI10" s="51" t="s">
        <v>10</v>
      </c>
      <c r="AJ10" s="29" t="e">
        <f>VLOOKUP(Tabulka59121527333945515763697581[[#This Row],[Tým]],Tabulka38111426323844505662687480[[Tým]:[Body]],6,FALSE)+Tabulka59121527333945515763697581[[#This Row],[ ]]</f>
        <v>#N/A</v>
      </c>
      <c r="AK10" s="75" t="e">
        <f>VLOOKUP(Tabulka59121527333945515763697581[[#This Row],[Tým]],Tabulka591215273339455157636975[[Tým]:[Body]],2,FALSE)</f>
        <v>#N/A</v>
      </c>
      <c r="AL10" s="75" t="e">
        <f>Tabulka59121527333945515763697581[[#This Row],[Umístění]]</f>
        <v>#N/A</v>
      </c>
      <c r="AP10" s="1"/>
    </row>
    <row r="11" spans="1:42" ht="24.95" customHeight="1" x14ac:dyDescent="0.4">
      <c r="B11" s="6"/>
      <c r="C11" s="1" t="str">
        <f>IF(Tabulka17101325313743495561677379[[#This Row],[ ]]="","",IF(Tabulka17101325313743495561677379[[#This Row],[ ]]="NEÚČAST","",IF(OR(Tabulka17101325313743495561677379[Výsledný čas]="N",Tabulka17101325313743495561677379[Výsledný čas]="D"),$L$4-$L$5,_xlfn.RANK.EQ(Tabulka17101325313743495561677379[[#This Row],[ ]],Tabulka17101325313743495561677379[[ ]],1))))</f>
        <v/>
      </c>
      <c r="D11" s="7"/>
      <c r="E11" s="8"/>
      <c r="F11" s="8"/>
      <c r="G11" s="9" t="str">
        <f>IF(OR(Tabulka17101325313743495561677379[[#This Row],[LP]]="N",Tabulka17101325313743495561677379[[#This Row],[PP]]="N"),"N",IF(OR(Tabulka17101325313743495561677379[[#This Row],[LP]]="D",Tabulka17101325313743495561677379[[#This Row],[PP]]="D"),"D",IF(OR(Tabulka17101325313743495561677379[[#This Row],[LP]]="NEÚČAST",Tabulka17101325313743495561677379[[#This Row],[PP]]="NEÚČAST"),"NEÚČAST",IF(OR(Tabulka17101325313743495561677379[[#This Row],[LP]]="",Tabulka17101325313743495561677379[[#This Row],[PP]]=""),"",MAX(Tabulka17101325313743495561677379[[#This Row],[LP]:[PP]])))))</f>
        <v/>
      </c>
      <c r="H11" s="1">
        <f>COUNTIF(Tabulka17101325313743495561677379[[#This Row],[Tým]],"*")</f>
        <v>0</v>
      </c>
      <c r="I11" s="1">
        <f>COUNTIF(Tabulka17101325313743495561677379[[#This Row],[Výsledný čas]],"NEÚČAST")</f>
        <v>0</v>
      </c>
      <c r="J11" s="1" t="str">
        <f>IF(Tabulka17101325313743495561677379[[#This Row],[Výsledný čas]]="N",998,IF(Tabulka17101325313743495561677379[[#This Row],[Výsledný čas]]="D",998,IF(Tabulka17101325313743495561677379[[#This Row],[Výsledný čas]]="","",Tabulka17101325313743495561677379[[#This Row],[Výsledný čas]])))</f>
        <v/>
      </c>
      <c r="N11" s="30"/>
      <c r="O11" s="25" t="str">
        <f>IF(Tabulka171013630364248546066727884[[#This Row],[ ]]="","",IF(Tabulka171013630364248546066727884[[#This Row],[ ]]="NEÚČAST","",IF(OR(Tabulka171013630364248546066727884[Výsledný čas]="N",Tabulka171013630364248546066727884[Výsledný čas]="D"),$X$4-$X$5,_xlfn.RANK.EQ(Tabulka171013630364248546066727884[[#This Row],[ ]],Tabulka171013630364248546066727884[[ ]],1))))</f>
        <v/>
      </c>
      <c r="P11" s="26"/>
      <c r="Q11" s="5"/>
      <c r="R11" s="5"/>
      <c r="S11" s="29" t="str">
        <f>IF(OR(Tabulka171013630364248546066727884[[#This Row],[LP]]="N",Tabulka171013630364248546066727884[[#This Row],[PP]]="N"),"N",IF(OR(Tabulka171013630364248546066727884[[#This Row],[LP]]="D",Tabulka171013630364248546066727884[[#This Row],[PP]]="D"),"D",IF(OR(Tabulka171013630364248546066727884[[#This Row],[LP]]="NEÚČAST",Tabulka171013630364248546066727884[[#This Row],[PP]]="NEÚČAST"),"NEÚČAST",IF(OR(Tabulka171013630364248546066727884[[#This Row],[LP]]="",Tabulka171013630364248546066727884[[#This Row],[PP]]=""),"",MAX(Tabulka171013630364248546066727884[[#This Row],[LP]:[PP]])))))</f>
        <v/>
      </c>
      <c r="T11" s="88">
        <f>COUNTIF(Tabulka171013630364248546066727884[[#This Row],[Tým]],"*")</f>
        <v>0</v>
      </c>
      <c r="U11" s="88">
        <f>COUNTIF(Tabulka171013630364248546066727884[[#This Row],[Výsledný čas]],"NEÚČAST")</f>
        <v>0</v>
      </c>
      <c r="V11" s="88" t="str">
        <f>IF(Tabulka171013630364248546066727884[[#This Row],[Výsledný čas]]="N",998,IF(Tabulka171013630364248546066727884[[#This Row],[Výsledný čas]]="D",998,IF(Tabulka171013630364248546066727884[[#This Row],[Výsledný čas]]="","",Tabulka171013630364248546066727884[[#This Row],[Výsledný čas]])))</f>
        <v/>
      </c>
      <c r="Y11" s="15"/>
      <c r="Z11" s="31" t="e">
        <f>IF(OR(Tabulka38111426323844505662687480[Výsledný čas]="N",Tabulka38111426323844505662687480[Výsledný čas]="D",Tabulka38111426323844505662687480[Výsledný čas]="NEÚČAST"),Uvod!$E$4,_xlfn.RANK.EQ(Tabulka38111426323844505662687480[[#This Row],[ ]],Tabulka38111426323844505662687480[[ ]],1))</f>
        <v>#N/A</v>
      </c>
      <c r="AA11" s="51" t="s">
        <v>18</v>
      </c>
      <c r="AB11" s="44" t="e">
        <f>VLOOKUP(Tabulka38111426323844505662687480[[#This Row],[Tým]],Tabulka17101325313743495561677379[[Tým]:[ ]],2,FALSE)</f>
        <v>#N/A</v>
      </c>
      <c r="AC11" s="44" t="e">
        <f>VLOOKUP(Tabulka38111426323844505662687480[[#This Row],[Tým]],Tabulka17101325313743495561677379[[Tým]:[ ]],3,FALSE)</f>
        <v>#N/A</v>
      </c>
      <c r="AD11" s="25" t="e">
        <f>VLOOKUP(Tabulka38111426323844505662687480[[#This Row],[Tým]],Tabulka17101325313743495561677379[[Tým]:[ ]],4,FALSE)</f>
        <v>#N/A</v>
      </c>
      <c r="AE11" s="25" t="e">
        <f>VLOOKUP(Tabulka38111426323844505662687480[[#This Row],[Tým]],Tabulka17101325313743495561677379[[Tým]:[ ]],7,FALSE)</f>
        <v>#N/A</v>
      </c>
      <c r="AF11" s="29" t="e">
        <f>IF(Tabulka38111426323844505662687480[[#This Row],[Výsledný čas]]="N",5,IF(Tabulka38111426323844505662687480[[#This Row],[Výsledný čas]]="D",0,IF(Tabulka38111426323844505662687480[[#This Row],[Výsledný čas]]="NEÚČAST",0,Tabulka4[[#Totals],[Týmy muži]]+6-Tabulka38111426323844505662687480[[#This Row],[Umístění]])))</f>
        <v>#N/A</v>
      </c>
      <c r="AH11" s="31" t="e">
        <f>_xlfn.RANK.EQ(Tabulka59121527333945515763697581[[#This Row],[Body]],Tabulka59121527333945515763697581[Body],0)</f>
        <v>#N/A</v>
      </c>
      <c r="AI11" s="51" t="s">
        <v>18</v>
      </c>
      <c r="AJ11" s="29" t="e">
        <f>VLOOKUP(Tabulka59121527333945515763697581[[#This Row],[Tým]],Tabulka38111426323844505662687480[[Tým]:[Body]],6,FALSE)+Tabulka59121527333945515763697581[[#This Row],[ ]]</f>
        <v>#N/A</v>
      </c>
      <c r="AK11" s="75" t="e">
        <f>VLOOKUP(Tabulka59121527333945515763697581[[#This Row],[Tým]],Tabulka591215273339455157636975[[Tým]:[Body]],2,FALSE)</f>
        <v>#N/A</v>
      </c>
      <c r="AL11" s="75" t="e">
        <f>Tabulka59121527333945515763697581[[#This Row],[Umístění]]</f>
        <v>#N/A</v>
      </c>
      <c r="AP11" s="1"/>
    </row>
    <row r="12" spans="1:42" ht="24.95" customHeight="1" thickBot="1" x14ac:dyDescent="0.45">
      <c r="B12" s="6"/>
      <c r="C12" s="1" t="str">
        <f>IF(Tabulka17101325313743495561677379[[#This Row],[ ]]="","",IF(Tabulka17101325313743495561677379[[#This Row],[ ]]="NEÚČAST","",IF(OR(Tabulka17101325313743495561677379[Výsledný čas]="N",Tabulka17101325313743495561677379[Výsledný čas]="D"),$L$4-$L$5,_xlfn.RANK.EQ(Tabulka17101325313743495561677379[[#This Row],[ ]],Tabulka17101325313743495561677379[[ ]],1))))</f>
        <v/>
      </c>
      <c r="D12" s="7"/>
      <c r="E12" s="8"/>
      <c r="F12" s="8"/>
      <c r="G12" s="9" t="str">
        <f>IF(OR(Tabulka17101325313743495561677379[[#This Row],[LP]]="N",Tabulka17101325313743495561677379[[#This Row],[PP]]="N"),"N",IF(OR(Tabulka17101325313743495561677379[[#This Row],[LP]]="D",Tabulka17101325313743495561677379[[#This Row],[PP]]="D"),"D",IF(OR(Tabulka17101325313743495561677379[[#This Row],[LP]]="NEÚČAST",Tabulka17101325313743495561677379[[#This Row],[PP]]="NEÚČAST"),"NEÚČAST",IF(OR(Tabulka17101325313743495561677379[[#This Row],[LP]]="",Tabulka17101325313743495561677379[[#This Row],[PP]]=""),"",MAX(Tabulka17101325313743495561677379[[#This Row],[LP]:[PP]])))))</f>
        <v/>
      </c>
      <c r="H12" s="1">
        <f>COUNTIF(Tabulka17101325313743495561677379[[#This Row],[Tým]],"*")</f>
        <v>0</v>
      </c>
      <c r="I12" s="1">
        <f>COUNTIF(Tabulka17101325313743495561677379[[#This Row],[Výsledný čas]],"NEÚČAST")</f>
        <v>0</v>
      </c>
      <c r="J12" s="1" t="str">
        <f>IF(Tabulka17101325313743495561677379[[#This Row],[Výsledný čas]]="N",998,IF(Tabulka17101325313743495561677379[[#This Row],[Výsledný čas]]="D",998,IF(Tabulka17101325313743495561677379[[#This Row],[Výsledný čas]]="","",Tabulka17101325313743495561677379[[#This Row],[Výsledný čas]])))</f>
        <v/>
      </c>
      <c r="N12" s="33"/>
      <c r="O12" s="34" t="str">
        <f>IF(Tabulka171013630364248546066727884[[#This Row],[ ]]="","",IF(Tabulka171013630364248546066727884[[#This Row],[ ]]="NEÚČAST","",IF(OR(Tabulka171013630364248546066727884[Výsledný čas]="N",Tabulka171013630364248546066727884[Výsledný čas]="D"),$X$4-$X$5,_xlfn.RANK.EQ(Tabulka171013630364248546066727884[[#This Row],[ ]],Tabulka171013630364248546066727884[[ ]],1))))</f>
        <v/>
      </c>
      <c r="P12" s="101"/>
      <c r="Q12" s="91"/>
      <c r="R12" s="91"/>
      <c r="S12" s="36" t="str">
        <f>IF(OR(Tabulka171013630364248546066727884[[#This Row],[LP]]="N",Tabulka171013630364248546066727884[[#This Row],[PP]]="N"),"N",IF(OR(Tabulka171013630364248546066727884[[#This Row],[LP]]="D",Tabulka171013630364248546066727884[[#This Row],[PP]]="D"),"D",IF(OR(Tabulka171013630364248546066727884[[#This Row],[LP]]="NEÚČAST",Tabulka171013630364248546066727884[[#This Row],[PP]]="NEÚČAST"),"NEÚČAST",IF(OR(Tabulka171013630364248546066727884[[#This Row],[LP]]="",Tabulka171013630364248546066727884[[#This Row],[PP]]=""),"",MAX(Tabulka171013630364248546066727884[[#This Row],[LP]:[PP]])))))</f>
        <v/>
      </c>
      <c r="T12" s="99">
        <f>COUNTIF(Tabulka171013630364248546066727884[[#This Row],[Tým]],"*")</f>
        <v>0</v>
      </c>
      <c r="U12" s="99">
        <f>COUNTIF(Tabulka171013630364248546066727884[[#This Row],[Výsledný čas]],"NEÚČAST")</f>
        <v>0</v>
      </c>
      <c r="V12" s="99" t="str">
        <f>IF(Tabulka171013630364248546066727884[[#This Row],[Výsledný čas]]="N",998,IF(Tabulka171013630364248546066727884[[#This Row],[Výsledný čas]]="D",998,IF(Tabulka171013630364248546066727884[[#This Row],[Výsledný čas]]="","",Tabulka171013630364248546066727884[[#This Row],[Výsledný čas]])))</f>
        <v/>
      </c>
      <c r="Y12" s="15"/>
      <c r="Z12" s="31" t="e">
        <f>IF(OR(Tabulka38111426323844505662687480[Výsledný čas]="N",Tabulka38111426323844505662687480[Výsledný čas]="D",Tabulka38111426323844505662687480[Výsledný čas]="NEÚČAST"),Uvod!$E$4,_xlfn.RANK.EQ(Tabulka38111426323844505662687480[[#This Row],[ ]],Tabulka38111426323844505662687480[[ ]],1))</f>
        <v>#N/A</v>
      </c>
      <c r="AA12" s="51" t="s">
        <v>23</v>
      </c>
      <c r="AB12" s="44" t="e">
        <f>VLOOKUP(Tabulka38111426323844505662687480[[#This Row],[Tým]],Tabulka17101325313743495561677379[[Tým]:[ ]],2,FALSE)</f>
        <v>#N/A</v>
      </c>
      <c r="AC12" s="44" t="e">
        <f>VLOOKUP(Tabulka38111426323844505662687480[[#This Row],[Tým]],Tabulka17101325313743495561677379[[Tým]:[ ]],3,FALSE)</f>
        <v>#N/A</v>
      </c>
      <c r="AD12" s="25" t="e">
        <f>VLOOKUP(Tabulka38111426323844505662687480[[#This Row],[Tým]],Tabulka17101325313743495561677379[[Tým]:[ ]],4,FALSE)</f>
        <v>#N/A</v>
      </c>
      <c r="AE12" s="25" t="e">
        <f>VLOOKUP(Tabulka38111426323844505662687480[[#This Row],[Tým]],Tabulka17101325313743495561677379[[Tým]:[ ]],7,FALSE)</f>
        <v>#N/A</v>
      </c>
      <c r="AF12" s="29" t="e">
        <f>IF(Tabulka38111426323844505662687480[[#This Row],[Výsledný čas]]="N",5,IF(Tabulka38111426323844505662687480[[#This Row],[Výsledný čas]]="D",0,IF(Tabulka38111426323844505662687480[[#This Row],[Výsledný čas]]="NEÚČAST",0,Tabulka4[[#Totals],[Týmy muži]]+6-Tabulka38111426323844505662687480[[#This Row],[Umístění]])))</f>
        <v>#N/A</v>
      </c>
      <c r="AH12" s="31" t="e">
        <f>_xlfn.RANK.EQ(Tabulka59121527333945515763697581[[#This Row],[Body]],Tabulka59121527333945515763697581[Body],0)</f>
        <v>#N/A</v>
      </c>
      <c r="AI12" s="51" t="s">
        <v>23</v>
      </c>
      <c r="AJ12" s="29" t="e">
        <f>VLOOKUP(Tabulka59121527333945515763697581[[#This Row],[Tým]],Tabulka38111426323844505662687480[[Tým]:[Body]],6,FALSE)+Tabulka59121527333945515763697581[[#This Row],[ ]]</f>
        <v>#N/A</v>
      </c>
      <c r="AK12" s="75" t="e">
        <f>VLOOKUP(Tabulka59121527333945515763697581[[#This Row],[Tým]],Tabulka591215273339455157636975[[Tým]:[Body]],2,FALSE)</f>
        <v>#N/A</v>
      </c>
      <c r="AL12" s="75" t="e">
        <f>Tabulka59121527333945515763697581[[#This Row],[Umístění]]</f>
        <v>#N/A</v>
      </c>
      <c r="AP12" s="1"/>
    </row>
    <row r="13" spans="1:42" ht="24.95" customHeight="1" x14ac:dyDescent="0.4">
      <c r="B13" s="6"/>
      <c r="C13" s="1" t="str">
        <f>IF(Tabulka17101325313743495561677379[[#This Row],[ ]]="","",IF(Tabulka17101325313743495561677379[[#This Row],[ ]]="NEÚČAST","",IF(OR(Tabulka17101325313743495561677379[Výsledný čas]="N",Tabulka17101325313743495561677379[Výsledný čas]="D"),$L$4-$L$5,_xlfn.RANK.EQ(Tabulka17101325313743495561677379[[#This Row],[ ]],Tabulka17101325313743495561677379[[ ]],1))))</f>
        <v/>
      </c>
      <c r="D13" s="7"/>
      <c r="E13" s="8"/>
      <c r="F13" s="8"/>
      <c r="G13" s="9" t="str">
        <f>IF(OR(Tabulka17101325313743495561677379[[#This Row],[LP]]="N",Tabulka17101325313743495561677379[[#This Row],[PP]]="N"),"N",IF(OR(Tabulka17101325313743495561677379[[#This Row],[LP]]="D",Tabulka17101325313743495561677379[[#This Row],[PP]]="D"),"D",IF(OR(Tabulka17101325313743495561677379[[#This Row],[LP]]="NEÚČAST",Tabulka17101325313743495561677379[[#This Row],[PP]]="NEÚČAST"),"NEÚČAST",IF(OR(Tabulka17101325313743495561677379[[#This Row],[LP]]="",Tabulka17101325313743495561677379[[#This Row],[PP]]=""),"",MAX(Tabulka17101325313743495561677379[[#This Row],[LP]:[PP]])))))</f>
        <v/>
      </c>
      <c r="H13" s="1">
        <f>COUNTIF(Tabulka17101325313743495561677379[[#This Row],[Tým]],"*")</f>
        <v>0</v>
      </c>
      <c r="I13" s="1">
        <f>COUNTIF(Tabulka17101325313743495561677379[[#This Row],[Výsledný čas]],"NEÚČAST")</f>
        <v>0</v>
      </c>
      <c r="J13" s="1" t="str">
        <f>IF(Tabulka17101325313743495561677379[[#This Row],[Výsledný čas]]="N",998,IF(Tabulka17101325313743495561677379[[#This Row],[Výsledný čas]]="D",998,IF(Tabulka17101325313743495561677379[[#This Row],[Výsledný čas]]="","",Tabulka17101325313743495561677379[[#This Row],[Výsledný čas]])))</f>
        <v/>
      </c>
      <c r="P13" s="7"/>
      <c r="Q13" s="8"/>
      <c r="R13" s="8"/>
      <c r="Z13" s="63" t="e">
        <f>IF(OR(Tabulka38111426323844505662687480[Výsledný čas]="N",Tabulka38111426323844505662687480[Výsledný čas]="D",Tabulka38111426323844505662687480[Výsledný čas]="NEÚČAST"),Uvod!$E$4,_xlfn.RANK.EQ(Tabulka38111426323844505662687480[[#This Row],[ ]],Tabulka38111426323844505662687480[[ ]],1))</f>
        <v>#N/A</v>
      </c>
      <c r="AA13" s="51" t="s">
        <v>6</v>
      </c>
      <c r="AB13" s="44" t="e">
        <f>VLOOKUP(Tabulka38111426323844505662687480[[#This Row],[Tým]],Tabulka17101325313743495561677379[[Tým]:[ ]],2,FALSE)</f>
        <v>#N/A</v>
      </c>
      <c r="AC13" s="44" t="e">
        <f>VLOOKUP(Tabulka38111426323844505662687480[[#This Row],[Tým]],Tabulka17101325313743495561677379[[Tým]:[ ]],3,FALSE)</f>
        <v>#N/A</v>
      </c>
      <c r="AD13" s="25" t="e">
        <f>VLOOKUP(Tabulka38111426323844505662687480[[#This Row],[Tým]],Tabulka17101325313743495561677379[[Tým]:[ ]],4,FALSE)</f>
        <v>#N/A</v>
      </c>
      <c r="AE13" s="25" t="e">
        <f>VLOOKUP(Tabulka38111426323844505662687480[[#This Row],[Tým]],Tabulka17101325313743495561677379[[Tým]:[ ]],7,FALSE)</f>
        <v>#N/A</v>
      </c>
      <c r="AF13" s="29" t="e">
        <f>IF(Tabulka38111426323844505662687480[[#This Row],[Výsledný čas]]="N",5,IF(Tabulka38111426323844505662687480[[#This Row],[Výsledný čas]]="D",0,IF(Tabulka38111426323844505662687480[[#This Row],[Výsledný čas]]="NEÚČAST",0,Tabulka4[[#Totals],[Týmy muži]]+6-Tabulka38111426323844505662687480[[#This Row],[Umístění]])))</f>
        <v>#N/A</v>
      </c>
      <c r="AH13" s="31" t="e">
        <f>_xlfn.RANK.EQ(Tabulka59121527333945515763697581[[#This Row],[Body]],Tabulka59121527333945515763697581[Body],0)</f>
        <v>#N/A</v>
      </c>
      <c r="AI13" s="51" t="s">
        <v>6</v>
      </c>
      <c r="AJ13" s="29" t="e">
        <f>VLOOKUP(Tabulka59121527333945515763697581[[#This Row],[Tým]],Tabulka38111426323844505662687480[[Tým]:[Body]],6,FALSE)+Tabulka59121527333945515763697581[[#This Row],[ ]]</f>
        <v>#N/A</v>
      </c>
      <c r="AK13" s="75" t="e">
        <f>VLOOKUP(Tabulka59121527333945515763697581[[#This Row],[Tým]],Tabulka591215273339455157636975[[Tým]:[Body]],2,FALSE)</f>
        <v>#N/A</v>
      </c>
      <c r="AL13" s="75" t="e">
        <f>Tabulka59121527333945515763697581[[#This Row],[Umístění]]</f>
        <v>#N/A</v>
      </c>
      <c r="AP13" s="1"/>
    </row>
    <row r="14" spans="1:42" ht="24.95" customHeight="1" x14ac:dyDescent="0.4">
      <c r="B14" s="6"/>
      <c r="C14" s="1" t="str">
        <f>IF(Tabulka17101325313743495561677379[[#This Row],[ ]]="","",IF(Tabulka17101325313743495561677379[[#This Row],[ ]]="NEÚČAST","",IF(OR(Tabulka17101325313743495561677379[Výsledný čas]="N",Tabulka17101325313743495561677379[Výsledný čas]="D"),$L$4-$L$5,_xlfn.RANK.EQ(Tabulka17101325313743495561677379[[#This Row],[ ]],Tabulka17101325313743495561677379[[ ]],1))))</f>
        <v/>
      </c>
      <c r="D14" s="7"/>
      <c r="E14" s="8"/>
      <c r="F14" s="8"/>
      <c r="G14" s="9" t="str">
        <f>IF(OR(Tabulka17101325313743495561677379[[#This Row],[LP]]="N",Tabulka17101325313743495561677379[[#This Row],[PP]]="N"),"N",IF(OR(Tabulka17101325313743495561677379[[#This Row],[LP]]="D",Tabulka17101325313743495561677379[[#This Row],[PP]]="D"),"D",IF(OR(Tabulka17101325313743495561677379[[#This Row],[LP]]="NEÚČAST",Tabulka17101325313743495561677379[[#This Row],[PP]]="NEÚČAST"),"NEÚČAST",IF(OR(Tabulka17101325313743495561677379[[#This Row],[LP]]="",Tabulka17101325313743495561677379[[#This Row],[PP]]=""),"",MAX(Tabulka17101325313743495561677379[[#This Row],[LP]:[PP]])))))</f>
        <v/>
      </c>
      <c r="H14" s="1">
        <f>COUNTIF(Tabulka17101325313743495561677379[[#This Row],[Tým]],"*")</f>
        <v>0</v>
      </c>
      <c r="I14" s="1">
        <f>COUNTIF(Tabulka17101325313743495561677379[[#This Row],[Výsledný čas]],"NEÚČAST")</f>
        <v>0</v>
      </c>
      <c r="J14" s="1" t="str">
        <f>IF(Tabulka17101325313743495561677379[[#This Row],[Výsledný čas]]="N",998,IF(Tabulka17101325313743495561677379[[#This Row],[Výsledný čas]]="D",998,IF(Tabulka17101325313743495561677379[[#This Row],[Výsledný čas]]="","",Tabulka17101325313743495561677379[[#This Row],[Výsledný čas]])))</f>
        <v/>
      </c>
      <c r="N14" s="68"/>
      <c r="P14" s="7"/>
      <c r="Q14" s="8"/>
      <c r="R14" s="8"/>
      <c r="Z14" s="63" t="e">
        <f>IF(OR(Tabulka38111426323844505662687480[Výsledný čas]="N",Tabulka38111426323844505662687480[Výsledný čas]="D",Tabulka38111426323844505662687480[Výsledný čas]="NEÚČAST"),Uvod!$E$4,_xlfn.RANK.EQ(Tabulka38111426323844505662687480[[#This Row],[ ]],Tabulka38111426323844505662687480[[ ]],1))</f>
        <v>#N/A</v>
      </c>
      <c r="AA14" s="51" t="s">
        <v>31</v>
      </c>
      <c r="AB14" s="44" t="e">
        <f>VLOOKUP(Tabulka38111426323844505662687480[[#This Row],[Tým]],Tabulka17101325313743495561677379[[Tým]:[ ]],2,FALSE)</f>
        <v>#N/A</v>
      </c>
      <c r="AC14" s="44" t="e">
        <f>VLOOKUP(Tabulka38111426323844505662687480[[#This Row],[Tým]],Tabulka17101325313743495561677379[[Tým]:[ ]],3,FALSE)</f>
        <v>#N/A</v>
      </c>
      <c r="AD14" s="25" t="e">
        <f>VLOOKUP(Tabulka38111426323844505662687480[[#This Row],[Tým]],Tabulka17101325313743495561677379[[Tým]:[ ]],4,FALSE)</f>
        <v>#N/A</v>
      </c>
      <c r="AE14" s="25" t="e">
        <f>VLOOKUP(Tabulka38111426323844505662687480[[#This Row],[Tým]],Tabulka17101325313743495561677379[[Tým]:[ ]],7,FALSE)</f>
        <v>#N/A</v>
      </c>
      <c r="AF14" s="29" t="e">
        <f>IF(Tabulka38111426323844505662687480[[#This Row],[Výsledný čas]]="N",5,IF(Tabulka38111426323844505662687480[[#This Row],[Výsledný čas]]="D",0,IF(Tabulka38111426323844505662687480[[#This Row],[Výsledný čas]]="NEÚČAST",0,Tabulka4[[#Totals],[Týmy muži]]+6-Tabulka38111426323844505662687480[[#This Row],[Umístění]])))</f>
        <v>#N/A</v>
      </c>
      <c r="AH14" s="31" t="e">
        <f>_xlfn.RANK.EQ(Tabulka59121527333945515763697581[[#This Row],[Body]],Tabulka59121527333945515763697581[Body],0)</f>
        <v>#N/A</v>
      </c>
      <c r="AI14" s="51" t="s">
        <v>31</v>
      </c>
      <c r="AJ14" s="29" t="e">
        <f>VLOOKUP(Tabulka59121527333945515763697581[[#This Row],[Tým]],Tabulka38111426323844505662687480[[Tým]:[Body]],6,FALSE)+Tabulka59121527333945515763697581[[#This Row],[ ]]</f>
        <v>#N/A</v>
      </c>
      <c r="AK14" s="75" t="e">
        <f>VLOOKUP(Tabulka59121527333945515763697581[[#This Row],[Tým]],Tabulka591215273339455157636975[[Tým]:[Body]],2,FALSE)</f>
        <v>#N/A</v>
      </c>
      <c r="AL14" s="75" t="e">
        <f>Tabulka59121527333945515763697581[[#This Row],[Umístění]]</f>
        <v>#N/A</v>
      </c>
      <c r="AP14" s="1"/>
    </row>
    <row r="15" spans="1:42" ht="24.95" customHeight="1" x14ac:dyDescent="0.4">
      <c r="B15" s="6"/>
      <c r="C15" s="1" t="str">
        <f>IF(Tabulka17101325313743495561677379[[#This Row],[ ]]="","",IF(Tabulka17101325313743495561677379[[#This Row],[ ]]="NEÚČAST","",IF(OR(Tabulka17101325313743495561677379[Výsledný čas]="N",Tabulka17101325313743495561677379[Výsledný čas]="D"),$L$4-$L$5,_xlfn.RANK.EQ(Tabulka17101325313743495561677379[[#This Row],[ ]],Tabulka17101325313743495561677379[[ ]],1))))</f>
        <v/>
      </c>
      <c r="D15" s="7"/>
      <c r="E15" s="8"/>
      <c r="F15" s="8"/>
      <c r="G15" s="9" t="str">
        <f>IF(OR(Tabulka17101325313743495561677379[[#This Row],[LP]]="N",Tabulka17101325313743495561677379[[#This Row],[PP]]="N"),"N",IF(OR(Tabulka17101325313743495561677379[[#This Row],[LP]]="D",Tabulka17101325313743495561677379[[#This Row],[PP]]="D"),"D",IF(OR(Tabulka17101325313743495561677379[[#This Row],[LP]]="NEÚČAST",Tabulka17101325313743495561677379[[#This Row],[PP]]="NEÚČAST"),"NEÚČAST",IF(OR(Tabulka17101325313743495561677379[[#This Row],[LP]]="",Tabulka17101325313743495561677379[[#This Row],[PP]]=""),"",MAX(Tabulka17101325313743495561677379[[#This Row],[LP]:[PP]])))))</f>
        <v/>
      </c>
      <c r="H15" s="1">
        <f>COUNTIF(Tabulka17101325313743495561677379[[#This Row],[Tým]],"*")</f>
        <v>0</v>
      </c>
      <c r="I15" s="1">
        <f>COUNTIF(Tabulka17101325313743495561677379[[#This Row],[Výsledný čas]],"NEÚČAST")</f>
        <v>0</v>
      </c>
      <c r="J15" s="1" t="str">
        <f>IF(Tabulka17101325313743495561677379[[#This Row],[Výsledný čas]]="N",998,IF(Tabulka17101325313743495561677379[[#This Row],[Výsledný čas]]="D",998,IF(Tabulka17101325313743495561677379[[#This Row],[Výsledný čas]]="","",Tabulka17101325313743495561677379[[#This Row],[Výsledný čas]])))</f>
        <v/>
      </c>
      <c r="N15" s="68"/>
      <c r="P15" s="7"/>
      <c r="Q15" s="8"/>
      <c r="R15" s="8"/>
      <c r="Z15" s="63" t="e">
        <f>IF(OR(Tabulka38111426323844505662687480[Výsledný čas]="N",Tabulka38111426323844505662687480[Výsledný čas]="D",Tabulka38111426323844505662687480[Výsledný čas]="NEÚČAST"),Uvod!$E$4,_xlfn.RANK.EQ(Tabulka38111426323844505662687480[[#This Row],[ ]],Tabulka38111426323844505662687480[[ ]],1))</f>
        <v>#N/A</v>
      </c>
      <c r="AA15" s="51" t="s">
        <v>16</v>
      </c>
      <c r="AB15" s="44" t="e">
        <f>VLOOKUP(Tabulka38111426323844505662687480[[#This Row],[Tým]],Tabulka17101325313743495561677379[[Tým]:[ ]],2,FALSE)</f>
        <v>#N/A</v>
      </c>
      <c r="AC15" s="44" t="e">
        <f>VLOOKUP(Tabulka38111426323844505662687480[[#This Row],[Tým]],Tabulka17101325313743495561677379[[Tým]:[ ]],3,FALSE)</f>
        <v>#N/A</v>
      </c>
      <c r="AD15" s="25" t="e">
        <f>VLOOKUP(Tabulka38111426323844505662687480[[#This Row],[Tým]],Tabulka17101325313743495561677379[[Tým]:[ ]],4,FALSE)</f>
        <v>#N/A</v>
      </c>
      <c r="AE15" s="25" t="e">
        <f>VLOOKUP(Tabulka38111426323844505662687480[[#This Row],[Tým]],Tabulka17101325313743495561677379[[Tým]:[ ]],7,FALSE)</f>
        <v>#N/A</v>
      </c>
      <c r="AF15" s="29" t="e">
        <f>IF(Tabulka38111426323844505662687480[[#This Row],[Výsledný čas]]="N",5,IF(Tabulka38111426323844505662687480[[#This Row],[Výsledný čas]]="D",0,IF(Tabulka38111426323844505662687480[[#This Row],[Výsledný čas]]="NEÚČAST",0,Tabulka4[[#Totals],[Týmy muži]]+6-Tabulka38111426323844505662687480[[#This Row],[Umístění]])))</f>
        <v>#N/A</v>
      </c>
      <c r="AH15" s="31" t="e">
        <f>_xlfn.RANK.EQ(Tabulka59121527333945515763697581[[#This Row],[Body]],Tabulka59121527333945515763697581[Body],0)</f>
        <v>#N/A</v>
      </c>
      <c r="AI15" s="51" t="s">
        <v>16</v>
      </c>
      <c r="AJ15" s="29" t="e">
        <f>VLOOKUP(Tabulka59121527333945515763697581[[#This Row],[Tým]],Tabulka38111426323844505662687480[[Tým]:[Body]],6,FALSE)+Tabulka59121527333945515763697581[[#This Row],[ ]]</f>
        <v>#N/A</v>
      </c>
      <c r="AK15" s="75" t="e">
        <f>VLOOKUP(Tabulka59121527333945515763697581[[#This Row],[Tým]],Tabulka591215273339455157636975[[Tým]:[Body]],2,FALSE)</f>
        <v>#N/A</v>
      </c>
      <c r="AL15" s="75" t="e">
        <f>Tabulka59121527333945515763697581[[#This Row],[Umístění]]</f>
        <v>#N/A</v>
      </c>
      <c r="AP15" s="1"/>
    </row>
    <row r="16" spans="1:42" ht="24.95" customHeight="1" x14ac:dyDescent="0.4">
      <c r="B16" s="11"/>
      <c r="C16" s="1" t="str">
        <f>IF(Tabulka17101325313743495561677379[[#This Row],[ ]]="","",IF(Tabulka17101325313743495561677379[[#This Row],[ ]]="NEÚČAST","",IF(OR(Tabulka17101325313743495561677379[Výsledný čas]="N",Tabulka17101325313743495561677379[Výsledný čas]="D"),$L$4-$L$5,_xlfn.RANK.EQ(Tabulka17101325313743495561677379[[#This Row],[ ]],Tabulka17101325313743495561677379[[ ]],1))))</f>
        <v/>
      </c>
      <c r="D16" s="7"/>
      <c r="E16" s="8"/>
      <c r="F16" s="8"/>
      <c r="G16" s="9" t="str">
        <f>IF(OR(Tabulka17101325313743495561677379[[#This Row],[LP]]="N",Tabulka17101325313743495561677379[[#This Row],[PP]]="N"),"N",IF(OR(Tabulka17101325313743495561677379[[#This Row],[LP]]="D",Tabulka17101325313743495561677379[[#This Row],[PP]]="D"),"D",IF(OR(Tabulka17101325313743495561677379[[#This Row],[LP]]="NEÚČAST",Tabulka17101325313743495561677379[[#This Row],[PP]]="NEÚČAST"),"NEÚČAST",IF(OR(Tabulka17101325313743495561677379[[#This Row],[LP]]="",Tabulka17101325313743495561677379[[#This Row],[PP]]=""),"",MAX(Tabulka17101325313743495561677379[[#This Row],[LP]:[PP]])))))</f>
        <v/>
      </c>
      <c r="H16" s="1">
        <f>COUNTIF(Tabulka17101325313743495561677379[[#This Row],[Tým]],"*")</f>
        <v>0</v>
      </c>
      <c r="I16" s="1">
        <f>COUNTIF(Tabulka17101325313743495561677379[[#This Row],[Výsledný čas]],"NEÚČAST")</f>
        <v>0</v>
      </c>
      <c r="J16" s="1" t="str">
        <f>IF(Tabulka17101325313743495561677379[[#This Row],[Výsledný čas]]="N",998,IF(Tabulka17101325313743495561677379[[#This Row],[Výsledný čas]]="D",998,IF(Tabulka17101325313743495561677379[[#This Row],[Výsledný čas]]="","",Tabulka17101325313743495561677379[[#This Row],[Výsledný čas]])))</f>
        <v/>
      </c>
      <c r="N16" s="70"/>
      <c r="P16" s="7"/>
      <c r="Q16" s="8"/>
      <c r="R16" s="8"/>
      <c r="Z16" s="63" t="e">
        <f>IF(OR(Tabulka38111426323844505662687480[Výsledný čas]="N",Tabulka38111426323844505662687480[Výsledný čas]="D",Tabulka38111426323844505662687480[Výsledný čas]="NEÚČAST"),Uvod!$E$4,_xlfn.RANK.EQ(Tabulka38111426323844505662687480[[#This Row],[ ]],Tabulka38111426323844505662687480[[ ]],1))</f>
        <v>#N/A</v>
      </c>
      <c r="AA16" s="51" t="s">
        <v>32</v>
      </c>
      <c r="AB16" s="44" t="e">
        <f>VLOOKUP(Tabulka38111426323844505662687480[[#This Row],[Tým]],Tabulka17101325313743495561677379[[Tým]:[ ]],2,FALSE)</f>
        <v>#N/A</v>
      </c>
      <c r="AC16" s="44" t="e">
        <f>VLOOKUP(Tabulka38111426323844505662687480[[#This Row],[Tým]],Tabulka17101325313743495561677379[[Tým]:[ ]],3,FALSE)</f>
        <v>#N/A</v>
      </c>
      <c r="AD16" s="25" t="e">
        <f>VLOOKUP(Tabulka38111426323844505662687480[[#This Row],[Tým]],Tabulka17101325313743495561677379[[Tým]:[ ]],4,FALSE)</f>
        <v>#N/A</v>
      </c>
      <c r="AE16" s="25" t="e">
        <f>VLOOKUP(Tabulka38111426323844505662687480[[#This Row],[Tým]],Tabulka17101325313743495561677379[[Tým]:[ ]],7,FALSE)</f>
        <v>#N/A</v>
      </c>
      <c r="AF16" s="29" t="e">
        <f>IF(Tabulka38111426323844505662687480[[#This Row],[Výsledný čas]]="N",5,IF(Tabulka38111426323844505662687480[[#This Row],[Výsledný čas]]="D",0,IF(Tabulka38111426323844505662687480[[#This Row],[Výsledný čas]]="NEÚČAST",0,Tabulka4[[#Totals],[Týmy muži]]+6-Tabulka38111426323844505662687480[[#This Row],[Umístění]])))</f>
        <v>#N/A</v>
      </c>
      <c r="AH16" s="31" t="e">
        <f>_xlfn.RANK.EQ(Tabulka59121527333945515763697581[[#This Row],[Body]],Tabulka59121527333945515763697581[Body],0)</f>
        <v>#N/A</v>
      </c>
      <c r="AI16" s="51" t="s">
        <v>32</v>
      </c>
      <c r="AJ16" s="29" t="e">
        <f>VLOOKUP(Tabulka59121527333945515763697581[[#This Row],[Tým]],Tabulka38111426323844505662687480[[Tým]:[Body]],6,FALSE)+Tabulka59121527333945515763697581[[#This Row],[ ]]</f>
        <v>#N/A</v>
      </c>
      <c r="AK16" s="75" t="e">
        <f>VLOOKUP(Tabulka59121527333945515763697581[[#This Row],[Tým]],Tabulka591215273339455157636975[[Tým]:[Body]],2,FALSE)</f>
        <v>#N/A</v>
      </c>
      <c r="AL16" s="75" t="e">
        <f>Tabulka59121527333945515763697581[[#This Row],[Umístění]]</f>
        <v>#N/A</v>
      </c>
      <c r="AP16" s="1"/>
    </row>
    <row r="17" spans="2:42" ht="24.95" customHeight="1" x14ac:dyDescent="0.4">
      <c r="B17" s="6"/>
      <c r="C17" s="1" t="str">
        <f>IF(Tabulka17101325313743495561677379[[#This Row],[ ]]="","",IF(Tabulka17101325313743495561677379[[#This Row],[ ]]="NEÚČAST","",IF(OR(Tabulka17101325313743495561677379[Výsledný čas]="N",Tabulka17101325313743495561677379[Výsledný čas]="D"),$L$4-$L$5,_xlfn.RANK.EQ(Tabulka17101325313743495561677379[[#This Row],[ ]],Tabulka17101325313743495561677379[[ ]],1))))</f>
        <v/>
      </c>
      <c r="D17" s="12"/>
      <c r="E17" s="8"/>
      <c r="F17" s="8"/>
      <c r="G17" s="9" t="str">
        <f>IF(OR(Tabulka17101325313743495561677379[[#This Row],[LP]]="N",Tabulka17101325313743495561677379[[#This Row],[PP]]="N"),"N",IF(OR(Tabulka17101325313743495561677379[[#This Row],[LP]]="D",Tabulka17101325313743495561677379[[#This Row],[PP]]="D"),"D",IF(OR(Tabulka17101325313743495561677379[[#This Row],[LP]]="NEÚČAST",Tabulka17101325313743495561677379[[#This Row],[PP]]="NEÚČAST"),"NEÚČAST",IF(OR(Tabulka17101325313743495561677379[[#This Row],[LP]]="",Tabulka17101325313743495561677379[[#This Row],[PP]]=""),"",MAX(Tabulka17101325313743495561677379[[#This Row],[LP]:[PP]])))))</f>
        <v/>
      </c>
      <c r="H17" s="1">
        <f>COUNTIF(Tabulka17101325313743495561677379[[#This Row],[Tým]],"*")</f>
        <v>0</v>
      </c>
      <c r="I17" s="1">
        <f>COUNTIF(Tabulka17101325313743495561677379[[#This Row],[Výsledný čas]],"NEÚČAST")</f>
        <v>0</v>
      </c>
      <c r="J17" s="1" t="str">
        <f>IF(Tabulka17101325313743495561677379[[#This Row],[Výsledný čas]]="N",998,IF(Tabulka17101325313743495561677379[[#This Row],[Výsledný čas]]="D",998,IF(Tabulka17101325313743495561677379[[#This Row],[Výsledný čas]]="","",Tabulka17101325313743495561677379[[#This Row],[Výsledný čas]])))</f>
        <v/>
      </c>
      <c r="P17" s="7"/>
      <c r="Q17" s="8"/>
      <c r="R17" s="8"/>
      <c r="Z17" s="63" t="e">
        <f>IF(OR(Tabulka38111426323844505662687480[Výsledný čas]="N",Tabulka38111426323844505662687480[Výsledný čas]="D",Tabulka38111426323844505662687480[Výsledný čas]="NEÚČAST"),Uvod!$E$4,_xlfn.RANK.EQ(Tabulka38111426323844505662687480[[#This Row],[ ]],Tabulka38111426323844505662687480[[ ]],1))</f>
        <v>#N/A</v>
      </c>
      <c r="AA17" s="51" t="s">
        <v>25</v>
      </c>
      <c r="AB17" s="44" t="e">
        <f>VLOOKUP(Tabulka38111426323844505662687480[[#This Row],[Tým]],Tabulka17101325313743495561677379[[Tým]:[ ]],2,FALSE)</f>
        <v>#N/A</v>
      </c>
      <c r="AC17" s="44" t="e">
        <f>VLOOKUP(Tabulka38111426323844505662687480[[#This Row],[Tým]],Tabulka17101325313743495561677379[[Tým]:[ ]],3,FALSE)</f>
        <v>#N/A</v>
      </c>
      <c r="AD17" s="25" t="e">
        <f>VLOOKUP(Tabulka38111426323844505662687480[[#This Row],[Tým]],Tabulka17101325313743495561677379[[Tým]:[ ]],4,FALSE)</f>
        <v>#N/A</v>
      </c>
      <c r="AE17" s="25" t="e">
        <f>VLOOKUP(Tabulka38111426323844505662687480[[#This Row],[Tým]],Tabulka17101325313743495561677379[[Tým]:[ ]],7,FALSE)</f>
        <v>#N/A</v>
      </c>
      <c r="AF17" s="29" t="e">
        <f>IF(Tabulka38111426323844505662687480[[#This Row],[Výsledný čas]]="N",5,IF(Tabulka38111426323844505662687480[[#This Row],[Výsledný čas]]="D",0,IF(Tabulka38111426323844505662687480[[#This Row],[Výsledný čas]]="NEÚČAST",0,Tabulka4[[#Totals],[Týmy muži]]+6-Tabulka38111426323844505662687480[[#This Row],[Umístění]])))</f>
        <v>#N/A</v>
      </c>
      <c r="AH17" s="31" t="e">
        <f>_xlfn.RANK.EQ(Tabulka59121527333945515763697581[[#This Row],[Body]],Tabulka59121527333945515763697581[Body],0)</f>
        <v>#N/A</v>
      </c>
      <c r="AI17" s="51" t="s">
        <v>25</v>
      </c>
      <c r="AJ17" s="29" t="e">
        <f>VLOOKUP(Tabulka59121527333945515763697581[[#This Row],[Tým]],Tabulka38111426323844505662687480[[Tým]:[Body]],6,FALSE)+Tabulka59121527333945515763697581[[#This Row],[ ]]</f>
        <v>#N/A</v>
      </c>
      <c r="AK17" s="75" t="e">
        <f>VLOOKUP(Tabulka59121527333945515763697581[[#This Row],[Tým]],Tabulka591215273339455157636975[[Tým]:[Body]],2,FALSE)</f>
        <v>#N/A</v>
      </c>
      <c r="AL17" s="75" t="e">
        <f>Tabulka59121527333945515763697581[[#This Row],[Umístění]]</f>
        <v>#N/A</v>
      </c>
      <c r="AP17" s="1"/>
    </row>
    <row r="18" spans="2:42" ht="24.95" customHeight="1" x14ac:dyDescent="0.4">
      <c r="B18" s="11"/>
      <c r="C18" s="1" t="str">
        <f>IF(Tabulka17101325313743495561677379[[#This Row],[ ]]="","",IF(Tabulka17101325313743495561677379[[#This Row],[ ]]="NEÚČAST","",IF(OR(Tabulka17101325313743495561677379[Výsledný čas]="N",Tabulka17101325313743495561677379[Výsledný čas]="D"),$L$4-$L$5,_xlfn.RANK.EQ(Tabulka17101325313743495561677379[[#This Row],[ ]],Tabulka17101325313743495561677379[[ ]],1))))</f>
        <v/>
      </c>
      <c r="D18" s="12"/>
      <c r="E18" s="8"/>
      <c r="F18" s="8"/>
      <c r="G18" s="9" t="str">
        <f>IF(OR(Tabulka17101325313743495561677379[[#This Row],[LP]]="N",Tabulka17101325313743495561677379[[#This Row],[PP]]="N"),"N",IF(OR(Tabulka17101325313743495561677379[[#This Row],[LP]]="D",Tabulka17101325313743495561677379[[#This Row],[PP]]="D"),"D",IF(OR(Tabulka17101325313743495561677379[[#This Row],[LP]]="NEÚČAST",Tabulka17101325313743495561677379[[#This Row],[PP]]="NEÚČAST"),"NEÚČAST",IF(OR(Tabulka17101325313743495561677379[[#This Row],[LP]]="",Tabulka17101325313743495561677379[[#This Row],[PP]]=""),"",MAX(Tabulka17101325313743495561677379[[#This Row],[LP]:[PP]])))))</f>
        <v/>
      </c>
      <c r="H18" s="1">
        <f>COUNTIF(Tabulka17101325313743495561677379[[#This Row],[Tým]],"*")</f>
        <v>0</v>
      </c>
      <c r="I18" s="1">
        <f>COUNTIF(Tabulka17101325313743495561677379[[#This Row],[Výsledný čas]],"NEÚČAST")</f>
        <v>0</v>
      </c>
      <c r="J18" s="1" t="str">
        <f>IF(Tabulka17101325313743495561677379[[#This Row],[Výsledný čas]]="N",998,IF(Tabulka17101325313743495561677379[[#This Row],[Výsledný čas]]="D",998,IF(Tabulka17101325313743495561677379[[#This Row],[Výsledný čas]]="","",Tabulka17101325313743495561677379[[#This Row],[Výsledný čas]])))</f>
        <v/>
      </c>
      <c r="P18" s="7"/>
      <c r="Q18" s="8"/>
      <c r="R18" s="8"/>
      <c r="Z18" s="63" t="e">
        <f>IF(OR(Tabulka38111426323844505662687480[Výsledný čas]="N",Tabulka38111426323844505662687480[Výsledný čas]="D",Tabulka38111426323844505662687480[Výsledný čas]="NEÚČAST"),Uvod!$E$4,_xlfn.RANK.EQ(Tabulka38111426323844505662687480[[#This Row],[ ]],Tabulka38111426323844505662687480[[ ]],1))</f>
        <v>#N/A</v>
      </c>
      <c r="AA18" s="51" t="s">
        <v>14</v>
      </c>
      <c r="AB18" s="44" t="e">
        <f>VLOOKUP(Tabulka38111426323844505662687480[[#This Row],[Tým]],Tabulka17101325313743495561677379[[Tým]:[ ]],2,FALSE)</f>
        <v>#N/A</v>
      </c>
      <c r="AC18" s="44" t="e">
        <f>VLOOKUP(Tabulka38111426323844505662687480[[#This Row],[Tým]],Tabulka17101325313743495561677379[[Tým]:[ ]],3,FALSE)</f>
        <v>#N/A</v>
      </c>
      <c r="AD18" s="25" t="e">
        <f>VLOOKUP(Tabulka38111426323844505662687480[[#This Row],[Tým]],Tabulka17101325313743495561677379[[Tým]:[ ]],4,FALSE)</f>
        <v>#N/A</v>
      </c>
      <c r="AE18" s="25" t="e">
        <f>VLOOKUP(Tabulka38111426323844505662687480[[#This Row],[Tým]],Tabulka17101325313743495561677379[[Tým]:[ ]],7,FALSE)</f>
        <v>#N/A</v>
      </c>
      <c r="AF18" s="29" t="e">
        <f>IF(Tabulka38111426323844505662687480[[#This Row],[Výsledný čas]]="N",5,IF(Tabulka38111426323844505662687480[[#This Row],[Výsledný čas]]="D",0,IF(Tabulka38111426323844505662687480[[#This Row],[Výsledný čas]]="NEÚČAST",0,Tabulka4[[#Totals],[Týmy muži]]+6-Tabulka38111426323844505662687480[[#This Row],[Umístění]])))</f>
        <v>#N/A</v>
      </c>
      <c r="AH18" s="31" t="e">
        <f>_xlfn.RANK.EQ(Tabulka59121527333945515763697581[[#This Row],[Body]],Tabulka59121527333945515763697581[Body],0)</f>
        <v>#N/A</v>
      </c>
      <c r="AI18" s="51" t="s">
        <v>14</v>
      </c>
      <c r="AJ18" s="29" t="e">
        <f>VLOOKUP(Tabulka59121527333945515763697581[[#This Row],[Tým]],Tabulka38111426323844505662687480[[Tým]:[Body]],6,FALSE)+Tabulka59121527333945515763697581[[#This Row],[ ]]</f>
        <v>#N/A</v>
      </c>
      <c r="AK18" s="75" t="e">
        <f>VLOOKUP(Tabulka59121527333945515763697581[[#This Row],[Tým]],Tabulka591215273339455157636975[[Tým]:[Body]],2,FALSE)</f>
        <v>#N/A</v>
      </c>
      <c r="AL18" s="75" t="e">
        <f>Tabulka59121527333945515763697581[[#This Row],[Umístění]]</f>
        <v>#N/A</v>
      </c>
      <c r="AP18" s="1"/>
    </row>
    <row r="19" spans="2:42" ht="24.95" customHeight="1" x14ac:dyDescent="0.4">
      <c r="B19" s="6"/>
      <c r="C19" s="1" t="str">
        <f>IF(Tabulka17101325313743495561677379[[#This Row],[ ]]="","",IF(Tabulka17101325313743495561677379[[#This Row],[ ]]="NEÚČAST","",IF(OR(Tabulka17101325313743495561677379[Výsledný čas]="N",Tabulka17101325313743495561677379[Výsledný čas]="D"),$L$4-$L$5,_xlfn.RANK.EQ(Tabulka17101325313743495561677379[[#This Row],[ ]],Tabulka17101325313743495561677379[[ ]],1))))</f>
        <v/>
      </c>
      <c r="D19" s="7"/>
      <c r="E19" s="8"/>
      <c r="F19" s="8"/>
      <c r="G19" s="9" t="str">
        <f>IF(OR(Tabulka17101325313743495561677379[[#This Row],[LP]]="N",Tabulka17101325313743495561677379[[#This Row],[PP]]="N"),"N",IF(OR(Tabulka17101325313743495561677379[[#This Row],[LP]]="D",Tabulka17101325313743495561677379[[#This Row],[PP]]="D"),"D",IF(OR(Tabulka17101325313743495561677379[[#This Row],[LP]]="NEÚČAST",Tabulka17101325313743495561677379[[#This Row],[PP]]="NEÚČAST"),"NEÚČAST",IF(OR(Tabulka17101325313743495561677379[[#This Row],[LP]]="",Tabulka17101325313743495561677379[[#This Row],[PP]]=""),"",MAX(Tabulka17101325313743495561677379[[#This Row],[LP]:[PP]])))))</f>
        <v/>
      </c>
      <c r="H19" s="1">
        <f>COUNTIF(Tabulka17101325313743495561677379[[#This Row],[Tým]],"*")</f>
        <v>0</v>
      </c>
      <c r="I19" s="1">
        <f>COUNTIF(Tabulka17101325313743495561677379[[#This Row],[Výsledný čas]],"NEÚČAST")</f>
        <v>0</v>
      </c>
      <c r="J19" s="1" t="str">
        <f>IF(Tabulka17101325313743495561677379[[#This Row],[Výsledný čas]]="N",998,IF(Tabulka17101325313743495561677379[[#This Row],[Výsledný čas]]="D",998,IF(Tabulka17101325313743495561677379[[#This Row],[Výsledný čas]]="","",Tabulka17101325313743495561677379[[#This Row],[Výsledný čas]])))</f>
        <v/>
      </c>
      <c r="N19" s="68"/>
      <c r="P19" s="10"/>
      <c r="Q19" s="8"/>
      <c r="R19" s="8"/>
      <c r="Z19" s="63" t="e">
        <f>IF(OR(Tabulka38111426323844505662687480[Výsledný čas]="N",Tabulka38111426323844505662687480[Výsledný čas]="D",Tabulka38111426323844505662687480[Výsledný čas]="NEÚČAST"),Uvod!$E$4,_xlfn.RANK.EQ(Tabulka38111426323844505662687480[[#This Row],[ ]],Tabulka38111426323844505662687480[[ ]],1))</f>
        <v>#N/A</v>
      </c>
      <c r="AA19" s="97" t="s">
        <v>33</v>
      </c>
      <c r="AB19" s="44" t="e">
        <f>VLOOKUP(Tabulka38111426323844505662687480[[#This Row],[Tým]],Tabulka17101325313743495561677379[[Tým]:[ ]],2,FALSE)</f>
        <v>#N/A</v>
      </c>
      <c r="AC19" s="44" t="e">
        <f>VLOOKUP(Tabulka38111426323844505662687480[[#This Row],[Tým]],Tabulka17101325313743495561677379[[Tým]:[ ]],3,FALSE)</f>
        <v>#N/A</v>
      </c>
      <c r="AD19" s="25" t="e">
        <f>VLOOKUP(Tabulka38111426323844505662687480[[#This Row],[Tým]],Tabulka17101325313743495561677379[[Tým]:[ ]],4,FALSE)</f>
        <v>#N/A</v>
      </c>
      <c r="AE19" s="25" t="e">
        <f>VLOOKUP(Tabulka38111426323844505662687480[[#This Row],[Tým]],Tabulka17101325313743495561677379[[Tým]:[ ]],7,FALSE)</f>
        <v>#N/A</v>
      </c>
      <c r="AF19" s="29" t="e">
        <f>IF(Tabulka38111426323844505662687480[[#This Row],[Výsledný čas]]="N",5,IF(Tabulka38111426323844505662687480[[#This Row],[Výsledný čas]]="D",0,IF(Tabulka38111426323844505662687480[[#This Row],[Výsledný čas]]="NEÚČAST",0,Tabulka4[[#Totals],[Týmy muži]]+6-Tabulka38111426323844505662687480[[#This Row],[Umístění]])))</f>
        <v>#N/A</v>
      </c>
      <c r="AH19" s="31" t="e">
        <f>_xlfn.RANK.EQ(Tabulka59121527333945515763697581[[#This Row],[Body]],Tabulka59121527333945515763697581[Body],0)</f>
        <v>#N/A</v>
      </c>
      <c r="AI19" s="97" t="s">
        <v>33</v>
      </c>
      <c r="AJ19" s="29" t="e">
        <f>VLOOKUP(Tabulka59121527333945515763697581[[#This Row],[Tým]],Tabulka38111426323844505662687480[[Tým]:[Body]],6,FALSE)+Tabulka59121527333945515763697581[[#This Row],[ ]]</f>
        <v>#N/A</v>
      </c>
      <c r="AK19" s="75" t="e">
        <f>VLOOKUP(Tabulka59121527333945515763697581[[#This Row],[Tým]],Tabulka591215273339455157636975[[Tým]:[Body]],2,FALSE)</f>
        <v>#N/A</v>
      </c>
      <c r="AL19" s="75" t="e">
        <f>Tabulka59121527333945515763697581[[#This Row],[Umístění]]</f>
        <v>#N/A</v>
      </c>
      <c r="AP19" s="1"/>
    </row>
    <row r="20" spans="2:42" ht="24.95" customHeight="1" thickBot="1" x14ac:dyDescent="0.45">
      <c r="B20" s="11"/>
      <c r="C20" s="1" t="str">
        <f>IF(Tabulka17101325313743495561677379[[#This Row],[ ]]="","",IF(Tabulka17101325313743495561677379[[#This Row],[ ]]="NEÚČAST","",IF(OR(Tabulka17101325313743495561677379[Výsledný čas]="N",Tabulka17101325313743495561677379[Výsledný čas]="D"),$L$4-$L$5,_xlfn.RANK.EQ(Tabulka17101325313743495561677379[[#This Row],[ ]],Tabulka17101325313743495561677379[[ ]],1))))</f>
        <v/>
      </c>
      <c r="D20" s="7"/>
      <c r="E20" s="8"/>
      <c r="F20" s="8"/>
      <c r="G20" s="9" t="str">
        <f>IF(OR(Tabulka17101325313743495561677379[[#This Row],[LP]]="N",Tabulka17101325313743495561677379[[#This Row],[PP]]="N"),"N",IF(OR(Tabulka17101325313743495561677379[[#This Row],[LP]]="D",Tabulka17101325313743495561677379[[#This Row],[PP]]="D"),"D",IF(OR(Tabulka17101325313743495561677379[[#This Row],[LP]]="NEÚČAST",Tabulka17101325313743495561677379[[#This Row],[PP]]="NEÚČAST"),"NEÚČAST",IF(OR(Tabulka17101325313743495561677379[[#This Row],[LP]]="",Tabulka17101325313743495561677379[[#This Row],[PP]]=""),"",MAX(Tabulka17101325313743495561677379[[#This Row],[LP]:[PP]])))))</f>
        <v/>
      </c>
      <c r="H20" s="1">
        <f>COUNTIF(Tabulka17101325313743495561677379[[#This Row],[Tým]],"*")</f>
        <v>0</v>
      </c>
      <c r="I20" s="1">
        <f>COUNTIF(Tabulka17101325313743495561677379[[#This Row],[Výsledný čas]],"NEÚČAST")</f>
        <v>0</v>
      </c>
      <c r="J20" s="1" t="str">
        <f>IF(Tabulka17101325313743495561677379[[#This Row],[Výsledný čas]]="N",998,IF(Tabulka17101325313743495561677379[[#This Row],[Výsledný čas]]="D",998,IF(Tabulka17101325313743495561677379[[#This Row],[Výsledný čas]]="","",Tabulka17101325313743495561677379[[#This Row],[Výsledný čas]])))</f>
        <v/>
      </c>
      <c r="N20" s="70"/>
      <c r="P20" s="10"/>
      <c r="Q20" s="8"/>
      <c r="R20" s="8"/>
      <c r="Z20" s="63" t="e">
        <f>IF(OR(Tabulka38111426323844505662687480[Výsledný čas]="N",Tabulka38111426323844505662687480[Výsledný čas]="D",Tabulka38111426323844505662687480[Výsledný čas]="NEÚČAST"),Uvod!$E$4,_xlfn.RANK.EQ(Tabulka38111426323844505662687480[[#This Row],[ ]],Tabulka38111426323844505662687480[[ ]],1))</f>
        <v>#N/A</v>
      </c>
      <c r="AA20" s="97" t="s">
        <v>17</v>
      </c>
      <c r="AB20" s="44" t="e">
        <f>VLOOKUP(Tabulka38111426323844505662687480[[#This Row],[Tým]],Tabulka17101325313743495561677379[[Tým]:[ ]],2,FALSE)</f>
        <v>#N/A</v>
      </c>
      <c r="AC20" s="44" t="e">
        <f>VLOOKUP(Tabulka38111426323844505662687480[[#This Row],[Tým]],Tabulka17101325313743495561677379[[Tým]:[ ]],3,FALSE)</f>
        <v>#N/A</v>
      </c>
      <c r="AD20" s="25" t="e">
        <f>VLOOKUP(Tabulka38111426323844505662687480[[#This Row],[Tým]],Tabulka17101325313743495561677379[[Tým]:[ ]],4,FALSE)</f>
        <v>#N/A</v>
      </c>
      <c r="AE20" s="25" t="e">
        <f>VLOOKUP(Tabulka38111426323844505662687480[[#This Row],[Tým]],Tabulka17101325313743495561677379[[Tým]:[ ]],7,FALSE)</f>
        <v>#N/A</v>
      </c>
      <c r="AF20" s="29" t="e">
        <f>IF(Tabulka38111426323844505662687480[[#This Row],[Výsledný čas]]="N",5,IF(Tabulka38111426323844505662687480[[#This Row],[Výsledný čas]]="D",0,IF(Tabulka38111426323844505662687480[[#This Row],[Výsledný čas]]="NEÚČAST",0,Tabulka4[[#Totals],[Týmy muži]]+6-Tabulka38111426323844505662687480[[#This Row],[Umístění]])))</f>
        <v>#N/A</v>
      </c>
      <c r="AH20" s="31" t="e">
        <f>_xlfn.RANK.EQ(Tabulka59121527333945515763697581[[#This Row],[Body]],Tabulka59121527333945515763697581[Body],0)</f>
        <v>#N/A</v>
      </c>
      <c r="AI20" s="97" t="s">
        <v>17</v>
      </c>
      <c r="AJ20" s="29" t="e">
        <f>VLOOKUP(Tabulka59121527333945515763697581[[#This Row],[Tým]],Tabulka38111426323844505662687480[[Tým]:[Body]],6,FALSE)+Tabulka59121527333945515763697581[[#This Row],[ ]]</f>
        <v>#N/A</v>
      </c>
      <c r="AK20" s="76" t="e">
        <f>VLOOKUP(Tabulka59121527333945515763697581[[#This Row],[Tým]],Tabulka591215273339455157636975[[Tým]:[Body]],2,FALSE)</f>
        <v>#N/A</v>
      </c>
      <c r="AL20" s="116" t="e">
        <f>Tabulka59121527333945515763697581[[#This Row],[Umístění]]</f>
        <v>#N/A</v>
      </c>
      <c r="AP20" s="1"/>
    </row>
    <row r="21" spans="2:42" ht="24.95" customHeight="1" x14ac:dyDescent="0.4">
      <c r="B21" s="6"/>
      <c r="C21" s="1" t="str">
        <f>IF(Tabulka17101325313743495561677379[[#This Row],[ ]]="","",IF(Tabulka17101325313743495561677379[[#This Row],[ ]]="NEÚČAST","",IF(OR(Tabulka17101325313743495561677379[Výsledný čas]="N",Tabulka17101325313743495561677379[Výsledný čas]="D"),$L$4-$L$5,_xlfn.RANK.EQ(Tabulka17101325313743495561677379[[#This Row],[ ]],Tabulka17101325313743495561677379[[ ]],1))))</f>
        <v/>
      </c>
      <c r="D21" s="7"/>
      <c r="E21" s="13"/>
      <c r="F21" s="8"/>
      <c r="G21" s="9" t="str">
        <f>IF(OR(Tabulka17101325313743495561677379[[#This Row],[LP]]="N",Tabulka17101325313743495561677379[[#This Row],[PP]]="N"),"N",IF(OR(Tabulka17101325313743495561677379[[#This Row],[LP]]="D",Tabulka17101325313743495561677379[[#This Row],[PP]]="D"),"D",IF(OR(Tabulka17101325313743495561677379[[#This Row],[LP]]="NEÚČAST",Tabulka17101325313743495561677379[[#This Row],[PP]]="NEÚČAST"),"NEÚČAST",IF(OR(Tabulka17101325313743495561677379[[#This Row],[LP]]="",Tabulka17101325313743495561677379[[#This Row],[PP]]=""),"",MAX(Tabulka17101325313743495561677379[[#This Row],[LP]:[PP]])))))</f>
        <v/>
      </c>
      <c r="H21" s="1">
        <f>COUNTIF(Tabulka17101325313743495561677379[[#This Row],[Tým]],"*")</f>
        <v>0</v>
      </c>
      <c r="I21" s="1">
        <f>COUNTIF(Tabulka17101325313743495561677379[[#This Row],[Výsledný čas]],"NEÚČAST")</f>
        <v>0</v>
      </c>
      <c r="J21" s="1" t="str">
        <f>IF(Tabulka17101325313743495561677379[[#This Row],[Výsledný čas]]="N",998,IF(Tabulka17101325313743495561677379[[#This Row],[Výsledný čas]]="D",998,IF(Tabulka17101325313743495561677379[[#This Row],[Výsledný čas]]="","",Tabulka17101325313743495561677379[[#This Row],[Výsledný čas]])))</f>
        <v/>
      </c>
      <c r="P21" s="10"/>
      <c r="Q21" s="8"/>
      <c r="R21" s="8"/>
      <c r="Z21" s="63" t="e">
        <f>IF(OR(Tabulka38111426323844505662687480[Výsledný čas]="N",Tabulka38111426323844505662687480[Výsledný čas]="D",Tabulka38111426323844505662687480[Výsledný čas]="NEÚČAST"),Uvod!$E$4,_xlfn.RANK.EQ(Tabulka38111426323844505662687480[[#This Row],[ ]],Tabulka38111426323844505662687480[[ ]],1))</f>
        <v>#N/A</v>
      </c>
      <c r="AA21" s="51" t="s">
        <v>24</v>
      </c>
      <c r="AB21" s="44" t="e">
        <f>VLOOKUP(Tabulka38111426323844505662687480[[#This Row],[Tým]],Tabulka17101325313743495561677379[[Tým]:[ ]],2,FALSE)</f>
        <v>#N/A</v>
      </c>
      <c r="AC21" s="44" t="e">
        <f>VLOOKUP(Tabulka38111426323844505662687480[[#This Row],[Tým]],Tabulka17101325313743495561677379[[Tým]:[ ]],3,FALSE)</f>
        <v>#N/A</v>
      </c>
      <c r="AD21" s="25" t="e">
        <f>VLOOKUP(Tabulka38111426323844505662687480[[#This Row],[Tým]],Tabulka17101325313743495561677379[[Tým]:[ ]],4,FALSE)</f>
        <v>#N/A</v>
      </c>
      <c r="AE21" s="25" t="e">
        <f>VLOOKUP(Tabulka38111426323844505662687480[[#This Row],[Tým]],Tabulka17101325313743495561677379[[Tým]:[ ]],7,FALSE)</f>
        <v>#N/A</v>
      </c>
      <c r="AF21" s="29" t="e">
        <f>IF(Tabulka38111426323844505662687480[[#This Row],[Výsledný čas]]="N",5,IF(Tabulka38111426323844505662687480[[#This Row],[Výsledný čas]]="D",0,IF(Tabulka38111426323844505662687480[[#This Row],[Výsledný čas]]="NEÚČAST",0,Tabulka4[[#Totals],[Týmy muži]]+6-Tabulka38111426323844505662687480[[#This Row],[Umístění]])))</f>
        <v>#N/A</v>
      </c>
      <c r="AH21" s="31" t="e">
        <f>_xlfn.RANK.EQ(Tabulka59121527333945515763697581[[#This Row],[Body]],Tabulka59121527333945515763697581[Body],0)</f>
        <v>#N/A</v>
      </c>
      <c r="AI21" s="51" t="s">
        <v>24</v>
      </c>
      <c r="AJ21" s="29" t="e">
        <f>VLOOKUP(Tabulka59121527333945515763697581[[#This Row],[Tým]],Tabulka38111426323844505662687480[[Tým]:[Body]],6,FALSE)+Tabulka59121527333945515763697581[[#This Row],[ ]]</f>
        <v>#N/A</v>
      </c>
      <c r="AK21" s="75" t="e">
        <f>VLOOKUP(Tabulka59121527333945515763697581[[#This Row],[Tým]],Tabulka591215273339455157636975[[Tým]:[Body]],2,FALSE)</f>
        <v>#N/A</v>
      </c>
      <c r="AL21" s="75" t="e">
        <f>Tabulka59121527333945515763697581[[#This Row],[Umístění]]</f>
        <v>#N/A</v>
      </c>
    </row>
    <row r="22" spans="2:42" ht="24.95" customHeight="1" thickBot="1" x14ac:dyDescent="0.45">
      <c r="B22" s="109"/>
      <c r="C22" s="18" t="str">
        <f>IF(Tabulka17101325313743495561677379[[#This Row],[ ]]="","",IF(Tabulka17101325313743495561677379[[#This Row],[ ]]="NEÚČAST","",IF(OR(Tabulka17101325313743495561677379[Výsledný čas]="N",Tabulka17101325313743495561677379[Výsledný čas]="D"),$L$4-$L$5,_xlfn.RANK.EQ(Tabulka17101325313743495561677379[[#This Row],[ ]],Tabulka17101325313743495561677379[[ ]],1))))</f>
        <v/>
      </c>
      <c r="D22" s="110"/>
      <c r="E22" s="111"/>
      <c r="F22" s="111"/>
      <c r="G22" s="20" t="str">
        <f>IF(OR(Tabulka17101325313743495561677379[[#This Row],[LP]]="N",Tabulka17101325313743495561677379[[#This Row],[PP]]="N"),"N",IF(OR(Tabulka17101325313743495561677379[[#This Row],[LP]]="D",Tabulka17101325313743495561677379[[#This Row],[PP]]="D"),"D",IF(OR(Tabulka17101325313743495561677379[[#This Row],[LP]]="NEÚČAST",Tabulka17101325313743495561677379[[#This Row],[PP]]="NEÚČAST"),"NEÚČAST",IF(OR(Tabulka17101325313743495561677379[[#This Row],[LP]]="",Tabulka17101325313743495561677379[[#This Row],[PP]]=""),"",MAX(Tabulka17101325313743495561677379[[#This Row],[LP]:[PP]])))))</f>
        <v/>
      </c>
      <c r="H22" s="1">
        <f>COUNTIF(Tabulka17101325313743495561677379[[#This Row],[Tým]],"*")</f>
        <v>0</v>
      </c>
      <c r="I22" s="1">
        <f>COUNTIF(Tabulka17101325313743495561677379[[#This Row],[Výsledný čas]],"NEÚČAST")</f>
        <v>0</v>
      </c>
      <c r="J22" s="1" t="str">
        <f>IF(Tabulka17101325313743495561677379[[#This Row],[Výsledný čas]]="N",998,IF(Tabulka17101325313743495561677379[[#This Row],[Výsledný čas]]="D",998,IF(Tabulka17101325313743495561677379[[#This Row],[Výsledný čas]]="","",Tabulka17101325313743495561677379[[#This Row],[Výsledný čas]])))</f>
        <v/>
      </c>
      <c r="P22" s="10"/>
      <c r="Q22" s="8"/>
      <c r="R22" s="8"/>
      <c r="Z22" s="64" t="e">
        <f>IF(OR(Tabulka38111426323844505662687480[Výsledný čas]="N",Tabulka38111426323844505662687480[Výsledný čas]="D",Tabulka38111426323844505662687480[Výsledný čas]="NEÚČAST"),Uvod!$E$4,_xlfn.RANK.EQ(Tabulka38111426323844505662687480[[#This Row],[ ]],Tabulka38111426323844505662687480[[ ]],1))</f>
        <v>#N/A</v>
      </c>
      <c r="AA22" s="98" t="s">
        <v>13</v>
      </c>
      <c r="AB22" s="45" t="e">
        <f>VLOOKUP(Tabulka38111426323844505662687480[[#This Row],[Tým]],Tabulka17101325313743495561677379[[Tým]:[ ]],2,FALSE)</f>
        <v>#N/A</v>
      </c>
      <c r="AC22" s="45" t="e">
        <f>VLOOKUP(Tabulka38111426323844505662687480[[#This Row],[Tým]],Tabulka17101325313743495561677379[[Tým]:[ ]],3,FALSE)</f>
        <v>#N/A</v>
      </c>
      <c r="AD22" s="34" t="e">
        <f>VLOOKUP(Tabulka38111426323844505662687480[[#This Row],[Tým]],Tabulka17101325313743495561677379[[Tým]:[ ]],4,FALSE)</f>
        <v>#N/A</v>
      </c>
      <c r="AE22" s="34" t="e">
        <f>VLOOKUP(Tabulka38111426323844505662687480[[#This Row],[Tým]],Tabulka17101325313743495561677379[[Tým]:[ ]],7,FALSE)</f>
        <v>#N/A</v>
      </c>
      <c r="AF22" s="36" t="e">
        <f>IF(Tabulka38111426323844505662687480[[#This Row],[Výsledný čas]]="N",5,IF(Tabulka38111426323844505662687480[[#This Row],[Výsledný čas]]="D",0,IF(Tabulka38111426323844505662687480[[#This Row],[Výsledný čas]]="NEÚČAST",0,Tabulka4[[#Totals],[Týmy muži]]+6-Tabulka38111426323844505662687480[[#This Row],[Umístění]])))</f>
        <v>#N/A</v>
      </c>
      <c r="AH22" s="33" t="e">
        <f>_xlfn.RANK.EQ(Tabulka59121527333945515763697581[[#This Row],[Body]],Tabulka59121527333945515763697581[Body],0)</f>
        <v>#N/A</v>
      </c>
      <c r="AI22" s="98" t="s">
        <v>13</v>
      </c>
      <c r="AJ22" s="36" t="e">
        <f>VLOOKUP(Tabulka59121527333945515763697581[[#This Row],[Tým]],Tabulka38111426323844505662687480[[Tým]:[Body]],6,FALSE)+Tabulka59121527333945515763697581[[#This Row],[ ]]</f>
        <v>#N/A</v>
      </c>
      <c r="AK22" s="76" t="e">
        <f>VLOOKUP(Tabulka59121527333945515763697581[[#This Row],[Tým]],Tabulka591215273339455157636975[[Tým]:[Body]],2,FALSE)</f>
        <v>#N/A</v>
      </c>
      <c r="AL22" s="76" t="e">
        <f>Tabulka59121527333945515763697581[[#This Row],[Umístění]]</f>
        <v>#N/A</v>
      </c>
    </row>
    <row r="23" spans="2:42" ht="24.95" customHeight="1" x14ac:dyDescent="0.4">
      <c r="B23" s="68"/>
      <c r="D23" s="14"/>
      <c r="E23" s="8"/>
      <c r="F23" s="8"/>
      <c r="P23" s="10"/>
      <c r="Q23" s="8"/>
      <c r="R23" s="8"/>
      <c r="AB23" s="3"/>
      <c r="AC23" s="3"/>
      <c r="AL23" s="15"/>
    </row>
    <row r="24" spans="2:42" ht="24.95" customHeight="1" thickBot="1" x14ac:dyDescent="0.45">
      <c r="B24" s="70"/>
      <c r="D24" s="7"/>
      <c r="E24" s="8"/>
      <c r="F24" s="8"/>
      <c r="N24" s="68"/>
      <c r="P24" s="7"/>
      <c r="Q24" s="8"/>
      <c r="R24" s="8"/>
      <c r="AB24" s="3"/>
      <c r="AC24" s="3"/>
      <c r="AL24" s="15"/>
    </row>
    <row r="25" spans="2:42" ht="24.95" customHeight="1" x14ac:dyDescent="0.4">
      <c r="D25" s="16"/>
      <c r="N25" s="70"/>
      <c r="P25" s="7"/>
      <c r="Q25" s="8"/>
      <c r="R25" s="8"/>
      <c r="Z25" s="308" t="str">
        <f>N2</f>
        <v xml:space="preserve">Výsledky - Soutěže 13. kola NHHL 0.1. 1900  - ŽENY </v>
      </c>
      <c r="AA25" s="309"/>
      <c r="AB25" s="309"/>
      <c r="AC25" s="309"/>
      <c r="AD25" s="309"/>
      <c r="AE25" s="309"/>
      <c r="AF25" s="310"/>
      <c r="AH25" s="308" t="s">
        <v>142</v>
      </c>
      <c r="AI25" s="309"/>
      <c r="AJ25" s="309"/>
      <c r="AK25" s="310"/>
      <c r="AL25" s="66"/>
      <c r="AM25" s="15"/>
    </row>
    <row r="26" spans="2:42" ht="24.95" customHeight="1" thickBot="1" x14ac:dyDescent="0.45">
      <c r="D26" s="16"/>
      <c r="P26" s="7"/>
      <c r="Q26" s="8"/>
      <c r="R26" s="8"/>
      <c r="Z26" s="31" t="s">
        <v>1</v>
      </c>
      <c r="AA26" s="25" t="s">
        <v>2</v>
      </c>
      <c r="AB26" s="25" t="s">
        <v>3</v>
      </c>
      <c r="AC26" s="25" t="s">
        <v>4</v>
      </c>
      <c r="AD26" s="25" t="s">
        <v>5</v>
      </c>
      <c r="AE26" s="25" t="s">
        <v>27</v>
      </c>
      <c r="AF26" s="29" t="s">
        <v>7</v>
      </c>
      <c r="AH26" s="58" t="s">
        <v>1</v>
      </c>
      <c r="AI26" s="59" t="s">
        <v>2</v>
      </c>
      <c r="AJ26" s="36" t="s">
        <v>7</v>
      </c>
      <c r="AK26" s="88" t="s">
        <v>27</v>
      </c>
      <c r="AL26" s="9" t="s">
        <v>73</v>
      </c>
      <c r="AP26" s="1"/>
    </row>
    <row r="27" spans="2:42" ht="24.95" customHeight="1" x14ac:dyDescent="0.4">
      <c r="D27" s="16"/>
      <c r="P27" s="7"/>
      <c r="Q27" s="8"/>
      <c r="R27" s="8"/>
      <c r="Z27" s="31" t="e">
        <f>IF(OR(Tabulka381114228344046525864707682[Výsledný čas]="N",Tabulka381114228344046525864707682[Výsledný čas]="D",Tabulka381114228344046525864707682[Výsledný čas]="NEÚČAST"),Uvod!$E$6,_xlfn.RANK.EQ(Tabulka381114228344046525864707682[[#This Row],[ ]],Tabulka381114228344046525864707682[[ ]],1))</f>
        <v>#N/A</v>
      </c>
      <c r="AA27" s="51" t="s">
        <v>34</v>
      </c>
      <c r="AB27" s="44" t="e">
        <f>VLOOKUP(Tabulka381114228344046525864707682[[#This Row],[Tým]],Tabulka171013630364248546066727884[[Tým]:[ ]],2,FALSE)</f>
        <v>#N/A</v>
      </c>
      <c r="AC27" s="44" t="e">
        <f>VLOOKUP(Tabulka381114228344046525864707682[[#This Row],[Tým]],Tabulka171013630364248546066727884[[Tým]:[ ]],3,FALSE)</f>
        <v>#N/A</v>
      </c>
      <c r="AD27" s="25" t="e">
        <f>VLOOKUP(Tabulka381114228344046525864707682[[#This Row],[Tým]],Tabulka171013630364248546066727884[[Tým]:[ ]],4,FALSE)</f>
        <v>#N/A</v>
      </c>
      <c r="AE27" s="25" t="e">
        <f>VLOOKUP(Tabulka381114228344046525864707682[[#This Row],[Tým]],Tabulka171013630364248546066727884[[Tým]:[ ]],7,FALSE)</f>
        <v>#N/A</v>
      </c>
      <c r="AF27" s="29" t="e">
        <f>IF(Tabulka381114228344046525864707682[[#This Row],[Výsledný čas]]="N",5,IF(Tabulka381114228344046525864707682[[#This Row],[Výsledný čas]]="D",0,IF(Tabulka381114228344046525864707682[[#This Row],[Výsledný čas]]="NEÚČAST",0,Tabulka8[[#Totals],[Týmy ženy]]+6-Tabulka381114228344046525864707682[[#This Row],[Umístění]])))</f>
        <v>#N/A</v>
      </c>
      <c r="AH27" s="77" t="e">
        <f>_xlfn.RANK.EQ(Tabulka591215329354147535965717783[[#This Row],[Body]],Tabulka591215329354147535965717783[Body],0)</f>
        <v>#N/A</v>
      </c>
      <c r="AI27" s="78" t="s">
        <v>34</v>
      </c>
      <c r="AJ27" s="81" t="e">
        <f>VLOOKUP(Tabulka591215329354147535965717783[[#This Row],[Tým]],Tabulka381114228344046525864707682[[Tým]:[Body]],6,FALSE)+Tabulka591215329354147535965717783[[#This Row],[ ]]</f>
        <v>#N/A</v>
      </c>
      <c r="AK27" s="75" t="e">
        <f>VLOOKUP(Tabulka591215329354147535965717783[[#This Row],[Tým]],Tabulka5912153293541475359657177[[Tým]:[Body]],2,FALSE)</f>
        <v>#N/A</v>
      </c>
      <c r="AL27" s="115" t="e">
        <f>Tabulka591215329354147535965717783[[#This Row],[Umístění]]</f>
        <v>#N/A</v>
      </c>
      <c r="AP27" s="1"/>
    </row>
    <row r="28" spans="2:42" ht="24.95" customHeight="1" x14ac:dyDescent="0.4">
      <c r="D28" s="16"/>
      <c r="P28" s="7"/>
      <c r="Q28" s="8"/>
      <c r="R28" s="8"/>
      <c r="Z28" s="31" t="e">
        <f>IF(Tabulka381114228344046525864707682[[#This Row],[ ]]="NEÚČAST","",IF(OR(Tabulka381114228344046525864707682[Výsledný čas]="N",Tabulka381114228344046525864707682[Výsledný čas]="D"),Uvod!$E$4,_xlfn.RANK.EQ(Tabulka381114228344046525864707682[[#This Row],[ ]],Tabulka381114228344046525864707682[[ ]],1)))</f>
        <v>#N/A</v>
      </c>
      <c r="AA28" s="51" t="s">
        <v>35</v>
      </c>
      <c r="AB28" s="44" t="e">
        <f>VLOOKUP(Tabulka381114228344046525864707682[[#This Row],[Tým]],Tabulka171013630364248546066727884[[Tým]:[ ]],2,FALSE)</f>
        <v>#N/A</v>
      </c>
      <c r="AC28" s="44" t="e">
        <f>VLOOKUP(Tabulka381114228344046525864707682[[#This Row],[Tým]],Tabulka171013630364248546066727884[[Tým]:[ ]],3,FALSE)</f>
        <v>#N/A</v>
      </c>
      <c r="AD28" s="25" t="e">
        <f>VLOOKUP(Tabulka381114228344046525864707682[[#This Row],[Tým]],Tabulka171013630364248546066727884[[Tým]:[ ]],4,FALSE)</f>
        <v>#N/A</v>
      </c>
      <c r="AE28" s="25" t="e">
        <f>VLOOKUP(Tabulka381114228344046525864707682[[#This Row],[Tým]],Tabulka171013630364248546066727884[[Tým]:[ ]],7,FALSE)</f>
        <v>#N/A</v>
      </c>
      <c r="AF28" s="29" t="e">
        <f>IF(Tabulka381114228344046525864707682[[#This Row],[Výsledný čas]]="N",5,IF(Tabulka381114228344046525864707682[[#This Row],[Výsledný čas]]="D",0,IF(Tabulka381114228344046525864707682[[#This Row],[Výsledný čas]]="NEÚČAST",0,Tabulka8[[#Totals],[Týmy ženy]]+6-Tabulka381114228344046525864707682[[#This Row],[Umístění]])))</f>
        <v>#N/A</v>
      </c>
      <c r="AH28" s="31" t="e">
        <f>_xlfn.RANK.EQ(Tabulka591215329354147535965717783[[#This Row],[Body]],Tabulka591215329354147535965717783[Body],0)</f>
        <v>#N/A</v>
      </c>
      <c r="AI28" s="51" t="s">
        <v>35</v>
      </c>
      <c r="AJ28" s="29" t="e">
        <f>VLOOKUP(Tabulka591215329354147535965717783[[#This Row],[Tým]],Tabulka381114228344046525864707682[[Tým]:[Body]],6,FALSE)+Tabulka591215329354147535965717783[[#This Row],[ ]]</f>
        <v>#N/A</v>
      </c>
      <c r="AK28" s="75" t="e">
        <f>VLOOKUP(Tabulka591215329354147535965717783[[#This Row],[Tým]],Tabulka5912153293541475359657177[[Tým]:[Body]],2,FALSE)</f>
        <v>#N/A</v>
      </c>
      <c r="AL28" s="75" t="e">
        <f>Tabulka591215329354147535965717783[[#This Row],[Umístění]]</f>
        <v>#N/A</v>
      </c>
      <c r="AP28" s="1"/>
    </row>
    <row r="29" spans="2:42" ht="24.95" customHeight="1" x14ac:dyDescent="0.4">
      <c r="D29" s="16"/>
      <c r="N29" s="68"/>
      <c r="P29" s="7"/>
      <c r="Q29" s="8"/>
      <c r="R29" s="8"/>
      <c r="Z29" s="31" t="e">
        <f>IF(Tabulka381114228344046525864707682[[#This Row],[ ]]="NEÚČAST","",IF(OR(Tabulka381114228344046525864707682[Výsledný čas]="N",Tabulka381114228344046525864707682[Výsledný čas]="D"),Uvod!$E$6,_xlfn.RANK.EQ(Tabulka381114228344046525864707682[[#This Row],[ ]],Tabulka381114228344046525864707682[[ ]],1)))</f>
        <v>#N/A</v>
      </c>
      <c r="AA29" s="51" t="s">
        <v>22</v>
      </c>
      <c r="AB29" s="44" t="e">
        <f>VLOOKUP(Tabulka381114228344046525864707682[[#This Row],[Tým]],Tabulka171013630364248546066727884[[Tým]:[ ]],2,FALSE)</f>
        <v>#N/A</v>
      </c>
      <c r="AC29" s="44" t="e">
        <f>VLOOKUP(Tabulka381114228344046525864707682[[#This Row],[Tým]],Tabulka171013630364248546066727884[[Tým]:[ ]],3,FALSE)</f>
        <v>#N/A</v>
      </c>
      <c r="AD29" s="25" t="e">
        <f>VLOOKUP(Tabulka381114228344046525864707682[[#This Row],[Tým]],Tabulka171013630364248546066727884[[Tým]:[ ]],4,FALSE)</f>
        <v>#N/A</v>
      </c>
      <c r="AE29" s="25" t="e">
        <f>VLOOKUP(Tabulka381114228344046525864707682[[#This Row],[Tým]],Tabulka171013630364248546066727884[[Tým]:[ ]],7,FALSE)</f>
        <v>#N/A</v>
      </c>
      <c r="AF29" s="29" t="e">
        <f>IF(Tabulka381114228344046525864707682[[#This Row],[Výsledný čas]]="N",5,IF(Tabulka381114228344046525864707682[[#This Row],[Výsledný čas]]="D",0,IF(Tabulka381114228344046525864707682[[#This Row],[Výsledný čas]]="NEÚČAST",0,Tabulka8[[#Totals],[Týmy ženy]]+6-Tabulka381114228344046525864707682[[#This Row],[Umístění]])))</f>
        <v>#N/A</v>
      </c>
      <c r="AH29" s="31" t="e">
        <f>_xlfn.RANK.EQ(Tabulka591215329354147535965717783[[#This Row],[Body]],Tabulka591215329354147535965717783[Body],0)</f>
        <v>#N/A</v>
      </c>
      <c r="AI29" s="51" t="s">
        <v>22</v>
      </c>
      <c r="AJ29" s="29" t="e">
        <f>VLOOKUP(Tabulka591215329354147535965717783[[#This Row],[Tým]],Tabulka381114228344046525864707682[[Tým]:[Body]],6,FALSE)+Tabulka591215329354147535965717783[[#This Row],[ ]]</f>
        <v>#N/A</v>
      </c>
      <c r="AK29" s="75" t="e">
        <f>VLOOKUP(Tabulka591215329354147535965717783[[#This Row],[Tým]],Tabulka5912153293541475359657177[[Tým]:[Body]],2,FALSE)</f>
        <v>#N/A</v>
      </c>
      <c r="AL29" s="75" t="e">
        <f>Tabulka591215329354147535965717783[[#This Row],[Umístění]]</f>
        <v>#N/A</v>
      </c>
      <c r="AP29" s="1"/>
    </row>
    <row r="30" spans="2:42" ht="24.95" customHeight="1" thickBot="1" x14ac:dyDescent="0.45">
      <c r="D30" s="16"/>
      <c r="N30" s="68"/>
      <c r="P30" s="7"/>
      <c r="Q30" s="8"/>
      <c r="R30" s="8"/>
      <c r="Z30" s="31" t="e">
        <f>IF(Tabulka381114228344046525864707682[[#This Row],[ ]]="NEÚČAST","",IF(OR(Tabulka381114228344046525864707682[Výsledný čas]="N",Tabulka381114228344046525864707682[Výsledný čas]="D"),Uvod!$E$6,_xlfn.RANK.EQ(Tabulka381114228344046525864707682[[#This Row],[ ]],Tabulka381114228344046525864707682[[ ]],1)))</f>
        <v>#N/A</v>
      </c>
      <c r="AA30" s="51" t="s">
        <v>21</v>
      </c>
      <c r="AB30" s="44" t="e">
        <f>VLOOKUP(Tabulka381114228344046525864707682[[#This Row],[Tým]],Tabulka171013630364248546066727884[[Tým]:[ ]],2,FALSE)</f>
        <v>#N/A</v>
      </c>
      <c r="AC30" s="44" t="e">
        <f>VLOOKUP(Tabulka381114228344046525864707682[[#This Row],[Tým]],Tabulka171013630364248546066727884[[Tým]:[ ]],3,FALSE)</f>
        <v>#N/A</v>
      </c>
      <c r="AD30" s="25" t="e">
        <f>VLOOKUP(Tabulka381114228344046525864707682[[#This Row],[Tým]],Tabulka171013630364248546066727884[[Tým]:[ ]],4,FALSE)</f>
        <v>#N/A</v>
      </c>
      <c r="AE30" s="25" t="e">
        <f>VLOOKUP(Tabulka381114228344046525864707682[[#This Row],[Tým]],Tabulka171013630364248546066727884[[Tým]:[ ]],7,FALSE)</f>
        <v>#N/A</v>
      </c>
      <c r="AF30" s="29" t="e">
        <f>IF(Tabulka381114228344046525864707682[[#This Row],[Výsledný čas]]="N",5,IF(Tabulka381114228344046525864707682[[#This Row],[Výsledný čas]]="D",0,IF(Tabulka381114228344046525864707682[[#This Row],[Výsledný čas]]="NEÚČAST",0,Tabulka8[[#Totals],[Týmy ženy]]+6-Tabulka381114228344046525864707682[[#This Row],[Umístění]])))</f>
        <v>#N/A</v>
      </c>
      <c r="AH30" s="31" t="e">
        <f>_xlfn.RANK.EQ(Tabulka591215329354147535965717783[[#This Row],[Body]],Tabulka591215329354147535965717783[Body],0)</f>
        <v>#N/A</v>
      </c>
      <c r="AI30" s="51" t="s">
        <v>21</v>
      </c>
      <c r="AJ30" s="29" t="e">
        <f>VLOOKUP(Tabulka591215329354147535965717783[[#This Row],[Tým]],Tabulka381114228344046525864707682[[Tým]:[Body]],6,FALSE)+Tabulka591215329354147535965717783[[#This Row],[ ]]</f>
        <v>#N/A</v>
      </c>
      <c r="AK30" s="76" t="e">
        <f>VLOOKUP(Tabulka591215329354147535965717783[[#This Row],[Tým]],Tabulka5912153293541475359657177[[Tým]:[Body]],2,FALSE)</f>
        <v>#N/A</v>
      </c>
      <c r="AL30" s="75" t="e">
        <f>Tabulka591215329354147535965717783[[#This Row],[Umístění]]</f>
        <v>#N/A</v>
      </c>
      <c r="AP30" s="1"/>
    </row>
    <row r="31" spans="2:42" ht="24.95" customHeight="1" x14ac:dyDescent="0.4">
      <c r="D31" s="16"/>
      <c r="P31" s="7"/>
      <c r="Q31" s="8"/>
      <c r="R31" s="8"/>
      <c r="Z31" s="31" t="e">
        <f>IF(Tabulka381114228344046525864707682[[#This Row],[ ]]="NEÚČAST","",IF(OR(Tabulka381114228344046525864707682[Výsledný čas]="N",Tabulka381114228344046525864707682[Výsledný čas]="D"),Uvod!$E$6,_xlfn.RANK.EQ(Tabulka381114228344046525864707682[[#This Row],[ ]],Tabulka381114228344046525864707682[[ ]],1)))</f>
        <v>#N/A</v>
      </c>
      <c r="AA31" s="51" t="s">
        <v>23</v>
      </c>
      <c r="AB31" s="44" t="e">
        <f>VLOOKUP(Tabulka381114228344046525864707682[[#This Row],[Tým]],Tabulka171013630364248546066727884[[Tým]:[ ]],2,FALSE)</f>
        <v>#N/A</v>
      </c>
      <c r="AC31" s="44" t="e">
        <f>VLOOKUP(Tabulka381114228344046525864707682[[#This Row],[Tým]],Tabulka171013630364248546066727884[[Tým]:[ ]],3,FALSE)</f>
        <v>#N/A</v>
      </c>
      <c r="AD31" s="25" t="e">
        <f>VLOOKUP(Tabulka381114228344046525864707682[[#This Row],[Tým]],Tabulka171013630364248546066727884[[Tým]:[ ]],4,FALSE)</f>
        <v>#N/A</v>
      </c>
      <c r="AE31" s="25" t="e">
        <f>VLOOKUP(Tabulka381114228344046525864707682[[#This Row],[Tým]],Tabulka171013630364248546066727884[[Tým]:[ ]],7,FALSE)</f>
        <v>#N/A</v>
      </c>
      <c r="AF31" s="29" t="e">
        <f>IF(Tabulka381114228344046525864707682[[#This Row],[Výsledný čas]]="N",5,IF(Tabulka381114228344046525864707682[[#This Row],[Výsledný čas]]="D",0,IF(Tabulka381114228344046525864707682[[#This Row],[Výsledný čas]]="NEÚČAST",0,Tabulka8[[#Totals],[Týmy ženy]]+6-Tabulka381114228344046525864707682[[#This Row],[Umístění]])))</f>
        <v>#N/A</v>
      </c>
      <c r="AH31" s="31" t="e">
        <f>_xlfn.RANK.EQ(Tabulka591215329354147535965717783[[#This Row],[Body]],Tabulka591215329354147535965717783[Body],0)</f>
        <v>#N/A</v>
      </c>
      <c r="AI31" s="51" t="s">
        <v>23</v>
      </c>
      <c r="AJ31" s="29" t="e">
        <f>VLOOKUP(Tabulka591215329354147535965717783[[#This Row],[Tým]],Tabulka381114228344046525864707682[[Tým]:[Body]],6,FALSE)+Tabulka591215329354147535965717783[[#This Row],[ ]]</f>
        <v>#N/A</v>
      </c>
      <c r="AK31" s="75" t="e">
        <f>VLOOKUP(Tabulka591215329354147535965717783[[#This Row],[Tým]],Tabulka5912153293541475359657177[[Tým]:[Body]],2,FALSE)</f>
        <v>#N/A</v>
      </c>
      <c r="AL31" s="75" t="e">
        <f>Tabulka591215329354147535965717783[[#This Row],[Umístění]]</f>
        <v>#N/A</v>
      </c>
      <c r="AP31" s="1"/>
    </row>
    <row r="32" spans="2:42" ht="24.95" customHeight="1" x14ac:dyDescent="0.4">
      <c r="D32" s="16"/>
      <c r="P32" s="7"/>
      <c r="Q32" s="8"/>
      <c r="R32" s="8"/>
      <c r="Z32" s="31" t="e">
        <f>IF(Tabulka381114228344046525864707682[[#This Row],[ ]]="NEÚČAST","",IF(OR(Tabulka381114228344046525864707682[Výsledný čas]="N",Tabulka381114228344046525864707682[Výsledný čas]="D"),Uvod!$E$6,_xlfn.RANK.EQ(Tabulka381114228344046525864707682[[#This Row],[ ]],Tabulka381114228344046525864707682[[ ]],1)))</f>
        <v>#N/A</v>
      </c>
      <c r="AA32" s="51" t="s">
        <v>19</v>
      </c>
      <c r="AB32" s="44" t="e">
        <f>VLOOKUP(Tabulka381114228344046525864707682[[#This Row],[Tým]],Tabulka171013630364248546066727884[[Tým]:[ ]],2,FALSE)</f>
        <v>#N/A</v>
      </c>
      <c r="AC32" s="44" t="e">
        <f>VLOOKUP(Tabulka381114228344046525864707682[[#This Row],[Tým]],Tabulka171013630364248546066727884[[Tým]:[ ]],3,FALSE)</f>
        <v>#N/A</v>
      </c>
      <c r="AD32" s="25" t="e">
        <f>VLOOKUP(Tabulka381114228344046525864707682[[#This Row],[Tým]],Tabulka171013630364248546066727884[[Tým]:[ ]],4,FALSE)</f>
        <v>#N/A</v>
      </c>
      <c r="AE32" s="25" t="e">
        <f>VLOOKUP(Tabulka381114228344046525864707682[[#This Row],[Tým]],Tabulka171013630364248546066727884[[Tým]:[ ]],7,FALSE)</f>
        <v>#N/A</v>
      </c>
      <c r="AF32" s="29" t="e">
        <f>IF(Tabulka381114228344046525864707682[[#This Row],[Výsledný čas]]="N",5,IF(Tabulka381114228344046525864707682[[#This Row],[Výsledný čas]]="D",0,IF(Tabulka381114228344046525864707682[[#This Row],[Výsledný čas]]="NEÚČAST",0,Tabulka8[[#Totals],[Týmy ženy]]+6-Tabulka381114228344046525864707682[[#This Row],[Umístění]])))</f>
        <v>#N/A</v>
      </c>
      <c r="AH32" s="31" t="e">
        <f>_xlfn.RANK.EQ(Tabulka591215329354147535965717783[[#This Row],[Body]],Tabulka591215329354147535965717783[Body],0)</f>
        <v>#N/A</v>
      </c>
      <c r="AI32" s="51" t="s">
        <v>19</v>
      </c>
      <c r="AJ32" s="29" t="e">
        <f>VLOOKUP(Tabulka591215329354147535965717783[[#This Row],[Tým]],Tabulka381114228344046525864707682[[Tým]:[Body]],6,FALSE)+Tabulka591215329354147535965717783[[#This Row],[ ]]</f>
        <v>#N/A</v>
      </c>
      <c r="AK32" s="75" t="e">
        <f>VLOOKUP(Tabulka591215329354147535965717783[[#This Row],[Tým]],Tabulka5912153293541475359657177[[Tým]:[Body]],2,FALSE)</f>
        <v>#N/A</v>
      </c>
      <c r="AL32" s="75" t="e">
        <f>Tabulka591215329354147535965717783[[#This Row],[Umístění]]</f>
        <v>#N/A</v>
      </c>
      <c r="AP32" s="1"/>
    </row>
    <row r="33" spans="4:42" ht="24.95" customHeight="1" x14ac:dyDescent="0.4">
      <c r="D33" s="16"/>
      <c r="P33" s="7"/>
      <c r="Q33" s="8"/>
      <c r="R33" s="8"/>
      <c r="Z33" s="31" t="e">
        <f>IF(Tabulka381114228344046525864707682[[#This Row],[ ]]="NEÚČAST","",IF(OR(Tabulka381114228344046525864707682[Výsledný čas]="N",Tabulka381114228344046525864707682[Výsledný čas]="D"),Uvod!$E$6,_xlfn.RANK.EQ(Tabulka381114228344046525864707682[[#This Row],[ ]],Tabulka381114228344046525864707682[[ ]],1)))</f>
        <v>#N/A</v>
      </c>
      <c r="AA33" s="51" t="s">
        <v>15</v>
      </c>
      <c r="AB33" s="44" t="e">
        <f>VLOOKUP(Tabulka381114228344046525864707682[[#This Row],[Tým]],Tabulka171013630364248546066727884[[Tým]:[ ]],2,FALSE)</f>
        <v>#N/A</v>
      </c>
      <c r="AC33" s="44" t="e">
        <f>VLOOKUP(Tabulka381114228344046525864707682[[#This Row],[Tým]],Tabulka171013630364248546066727884[[Tým]:[ ]],3,FALSE)</f>
        <v>#N/A</v>
      </c>
      <c r="AD33" s="25" t="e">
        <f>VLOOKUP(Tabulka381114228344046525864707682[[#This Row],[Tým]],Tabulka171013630364248546066727884[[Tým]:[ ]],4,FALSE)</f>
        <v>#N/A</v>
      </c>
      <c r="AE33" s="25" t="e">
        <f>VLOOKUP(Tabulka381114228344046525864707682[[#This Row],[Tým]],Tabulka171013630364248546066727884[[Tým]:[ ]],7,FALSE)</f>
        <v>#N/A</v>
      </c>
      <c r="AF33" s="29" t="e">
        <f>IF(Tabulka381114228344046525864707682[[#This Row],[Výsledný čas]]="N",5,IF(Tabulka381114228344046525864707682[[#This Row],[Výsledný čas]]="D",0,IF(Tabulka381114228344046525864707682[[#This Row],[Výsledný čas]]="NEÚČAST",0,Tabulka8[[#Totals],[Týmy ženy]]+6-Tabulka381114228344046525864707682[[#This Row],[Umístění]])))</f>
        <v>#N/A</v>
      </c>
      <c r="AH33" s="31" t="e">
        <f>_xlfn.RANK.EQ(Tabulka591215329354147535965717783[[#This Row],[Body]],Tabulka591215329354147535965717783[Body],0)</f>
        <v>#N/A</v>
      </c>
      <c r="AI33" s="51" t="s">
        <v>15</v>
      </c>
      <c r="AJ33" s="29" t="e">
        <f>VLOOKUP(Tabulka591215329354147535965717783[[#This Row],[Tým]],Tabulka381114228344046525864707682[[Tým]:[Body]],6,FALSE)+Tabulka591215329354147535965717783[[#This Row],[ ]]</f>
        <v>#N/A</v>
      </c>
      <c r="AK33" s="75" t="e">
        <f>VLOOKUP(Tabulka591215329354147535965717783[[#This Row],[Tým]],Tabulka5912153293541475359657177[[Tým]:[Body]],2,FALSE)</f>
        <v>#N/A</v>
      </c>
      <c r="AL33" s="75" t="e">
        <f>Tabulka591215329354147535965717783[[#This Row],[Umístění]]</f>
        <v>#N/A</v>
      </c>
      <c r="AP33" s="1"/>
    </row>
    <row r="34" spans="4:42" ht="24.95" customHeight="1" x14ac:dyDescent="0.4">
      <c r="D34" s="16"/>
      <c r="N34" s="70"/>
      <c r="P34" s="7"/>
      <c r="Q34" s="8"/>
      <c r="R34" s="8"/>
      <c r="Z34" s="31" t="e">
        <f>IF(Tabulka381114228344046525864707682[[#This Row],[ ]]="NEÚČAST","",IF(OR(Tabulka381114228344046525864707682[Výsledný čas]="N",Tabulka381114228344046525864707682[Výsledný čas]="D"),Uvod!$E$6,_xlfn.RANK.EQ(Tabulka381114228344046525864707682[[#This Row],[ ]],Tabulka381114228344046525864707682[[ ]],1)))</f>
        <v>#N/A</v>
      </c>
      <c r="AA34" s="51" t="s">
        <v>16</v>
      </c>
      <c r="AB34" s="44" t="e">
        <f>VLOOKUP(Tabulka381114228344046525864707682[[#This Row],[Tým]],Tabulka171013630364248546066727884[[Tým]:[ ]],2,FALSE)</f>
        <v>#N/A</v>
      </c>
      <c r="AC34" s="44" t="e">
        <f>VLOOKUP(Tabulka381114228344046525864707682[[#This Row],[Tým]],Tabulka171013630364248546066727884[[Tým]:[ ]],3,FALSE)</f>
        <v>#N/A</v>
      </c>
      <c r="AD34" s="25" t="e">
        <f>VLOOKUP(Tabulka381114228344046525864707682[[#This Row],[Tým]],Tabulka171013630364248546066727884[[Tým]:[ ]],4,FALSE)</f>
        <v>#N/A</v>
      </c>
      <c r="AE34" s="25" t="e">
        <f>VLOOKUP(Tabulka381114228344046525864707682[[#This Row],[Tým]],Tabulka171013630364248546066727884[[Tým]:[ ]],7,FALSE)</f>
        <v>#N/A</v>
      </c>
      <c r="AF34" s="29" t="e">
        <f>IF(Tabulka381114228344046525864707682[[#This Row],[Výsledný čas]]="N",5,IF(Tabulka381114228344046525864707682[[#This Row],[Výsledný čas]]="D",0,IF(Tabulka381114228344046525864707682[[#This Row],[Výsledný čas]]="NEÚČAST",0,Tabulka8[[#Totals],[Týmy ženy]]+6-Tabulka381114228344046525864707682[[#This Row],[Umístění]])))</f>
        <v>#N/A</v>
      </c>
      <c r="AH34" s="31" t="e">
        <f>_xlfn.RANK.EQ(Tabulka591215329354147535965717783[[#This Row],[Body]],Tabulka591215329354147535965717783[Body],0)</f>
        <v>#N/A</v>
      </c>
      <c r="AI34" s="51" t="s">
        <v>16</v>
      </c>
      <c r="AJ34" s="29" t="e">
        <f>VLOOKUP(Tabulka591215329354147535965717783[[#This Row],[Tým]],Tabulka381114228344046525864707682[[Tým]:[Body]],6,FALSE)+Tabulka591215329354147535965717783[[#This Row],[ ]]</f>
        <v>#N/A</v>
      </c>
      <c r="AK34" s="75" t="e">
        <f>VLOOKUP(Tabulka591215329354147535965717783[[#This Row],[Tým]],Tabulka5912153293541475359657177[[Tým]:[Body]],2,FALSE)</f>
        <v>#N/A</v>
      </c>
      <c r="AL34" s="75" t="e">
        <f>Tabulka591215329354147535965717783[[#This Row],[Umístění]]</f>
        <v>#N/A</v>
      </c>
      <c r="AP34" s="1"/>
    </row>
    <row r="35" spans="4:42" ht="24.95" customHeight="1" x14ac:dyDescent="0.4">
      <c r="D35" s="16"/>
      <c r="N35" s="70"/>
      <c r="P35" s="7"/>
      <c r="Q35" s="8"/>
      <c r="R35" s="8"/>
      <c r="Z35" s="31" t="e">
        <f>IF(Tabulka381114228344046525864707682[[#This Row],[ ]]="NEÚČAST","",IF(OR(Tabulka381114228344046525864707682[Výsledný čas]="N",Tabulka381114228344046525864707682[Výsledný čas]="D"),Uvod!$E$6,_xlfn.RANK.EQ(Tabulka381114228344046525864707682[[#This Row],[ ]],Tabulka381114228344046525864707682[[ ]],1)))</f>
        <v>#N/A</v>
      </c>
      <c r="AA35" s="51" t="s">
        <v>24</v>
      </c>
      <c r="AB35" s="44" t="e">
        <f>VLOOKUP(Tabulka381114228344046525864707682[[#This Row],[Tým]],Tabulka171013630364248546066727884[[Tým]:[ ]],2,FALSE)</f>
        <v>#N/A</v>
      </c>
      <c r="AC35" s="44" t="e">
        <f>VLOOKUP(Tabulka381114228344046525864707682[[#This Row],[Tým]],Tabulka171013630364248546066727884[[Tým]:[ ]],3,FALSE)</f>
        <v>#N/A</v>
      </c>
      <c r="AD35" s="25" t="e">
        <f>VLOOKUP(Tabulka381114228344046525864707682[[#This Row],[Tým]],Tabulka171013630364248546066727884[[Tým]:[ ]],4,FALSE)</f>
        <v>#N/A</v>
      </c>
      <c r="AE35" s="25" t="e">
        <f>VLOOKUP(Tabulka381114228344046525864707682[[#This Row],[Tým]],Tabulka171013630364248546066727884[[Tým]:[ ]],7,FALSE)</f>
        <v>#N/A</v>
      </c>
      <c r="AF35" s="29" t="e">
        <f>IF(Tabulka381114228344046525864707682[[#This Row],[Výsledný čas]]="N",5,IF(Tabulka381114228344046525864707682[[#This Row],[Výsledný čas]]="D",0,IF(Tabulka381114228344046525864707682[[#This Row],[Výsledný čas]]="NEÚČAST",0,Tabulka8[[#Totals],[Týmy ženy]]+6-Tabulka381114228344046525864707682[[#This Row],[Umístění]])))</f>
        <v>#N/A</v>
      </c>
      <c r="AH35" s="31" t="e">
        <f>_xlfn.RANK.EQ(Tabulka591215329354147535965717783[[#This Row],[Body]],Tabulka591215329354147535965717783[Body],0)</f>
        <v>#N/A</v>
      </c>
      <c r="AI35" s="51" t="s">
        <v>24</v>
      </c>
      <c r="AJ35" s="29" t="e">
        <f>VLOOKUP(Tabulka591215329354147535965717783[[#This Row],[Tým]],Tabulka381114228344046525864707682[[Tým]:[Body]],6,FALSE)+Tabulka591215329354147535965717783[[#This Row],[ ]]</f>
        <v>#N/A</v>
      </c>
      <c r="AK35" s="75" t="e">
        <f>VLOOKUP(Tabulka591215329354147535965717783[[#This Row],[Tým]],Tabulka5912153293541475359657177[[Tým]:[Body]],2,FALSE)</f>
        <v>#N/A</v>
      </c>
      <c r="AL35" s="75" t="e">
        <f>Tabulka591215329354147535965717783[[#This Row],[Umístění]]</f>
        <v>#N/A</v>
      </c>
      <c r="AP35" s="1"/>
    </row>
    <row r="36" spans="4:42" ht="24.95" customHeight="1" thickBot="1" x14ac:dyDescent="0.45">
      <c r="D36" s="16"/>
      <c r="P36" s="7"/>
      <c r="Q36" s="8"/>
      <c r="R36" s="8"/>
      <c r="Z36" s="33" t="e">
        <f>IF(Tabulka381114228344046525864707682[[#This Row],[ ]]="NEÚČAST","",IF(OR(Tabulka381114228344046525864707682[Výsledný čas]="N",Tabulka381114228344046525864707682[Výsledný čas]="D"),Uvod!$E$6,_xlfn.RANK.EQ(Tabulka381114228344046525864707682[[#This Row],[ ]],Tabulka381114228344046525864707682[[ ]],1)))</f>
        <v>#N/A</v>
      </c>
      <c r="AA36" s="62" t="s">
        <v>36</v>
      </c>
      <c r="AB36" s="45" t="e">
        <f>VLOOKUP(Tabulka381114228344046525864707682[[#This Row],[Tým]],Tabulka171013630364248546066727884[[Tým]:[ ]],2,FALSE)</f>
        <v>#N/A</v>
      </c>
      <c r="AC36" s="45" t="e">
        <f>VLOOKUP(Tabulka381114228344046525864707682[[#This Row],[Tým]],Tabulka171013630364248546066727884[[Tým]:[ ]],3,FALSE)</f>
        <v>#N/A</v>
      </c>
      <c r="AD36" s="34" t="e">
        <f>VLOOKUP(Tabulka381114228344046525864707682[[#This Row],[Tým]],Tabulka171013630364248546066727884[[Tým]:[ ]],4,FALSE)</f>
        <v>#N/A</v>
      </c>
      <c r="AE36" s="34" t="e">
        <f>VLOOKUP(Tabulka381114228344046525864707682[[#This Row],[Tým]],Tabulka171013630364248546066727884[[Tým]:[ ]],7,FALSE)</f>
        <v>#N/A</v>
      </c>
      <c r="AF36" s="36" t="e">
        <f>IF(Tabulka381114228344046525864707682[[#This Row],[Výsledný čas]]="N",5,IF(Tabulka381114228344046525864707682[[#This Row],[Výsledný čas]]="D",0,IF(Tabulka381114228344046525864707682[[#This Row],[Výsledný čas]]="NEÚČAST",0,Tabulka8[[#Totals],[Týmy ženy]]+6-Tabulka381114228344046525864707682[[#This Row],[Umístění]])))</f>
        <v>#N/A</v>
      </c>
      <c r="AH36" s="33" t="e">
        <f>_xlfn.RANK.EQ(Tabulka591215329354147535965717783[[#This Row],[Body]],Tabulka591215329354147535965717783[Body],0)</f>
        <v>#N/A</v>
      </c>
      <c r="AI36" s="62" t="s">
        <v>36</v>
      </c>
      <c r="AJ36" s="36" t="e">
        <f>VLOOKUP(Tabulka591215329354147535965717783[[#This Row],[Tým]],Tabulka381114228344046525864707682[[Tým]:[Body]],6,FALSE)+Tabulka591215329354147535965717783[[#This Row],[ ]]</f>
        <v>#N/A</v>
      </c>
      <c r="AK36" s="76" t="e">
        <f>VLOOKUP(Tabulka591215329354147535965717783[[#This Row],[Tým]],Tabulka5912153293541475359657177[[Tým]:[Body]],2,FALSE)</f>
        <v>#N/A</v>
      </c>
      <c r="AL36" s="76" t="e">
        <f>Tabulka591215329354147535965717783[[#This Row],[Umístění]]</f>
        <v>#N/A</v>
      </c>
      <c r="AP36" s="1"/>
    </row>
    <row r="37" spans="4:42" ht="24.95" customHeight="1" x14ac:dyDescent="0.4">
      <c r="D37" s="16"/>
      <c r="P37" s="7"/>
      <c r="Q37" s="8"/>
      <c r="R37" s="8"/>
      <c r="AB37" s="3"/>
      <c r="AC37" s="3"/>
      <c r="AK37" s="4"/>
    </row>
    <row r="38" spans="4:42" ht="24.95" customHeight="1" x14ac:dyDescent="0.4">
      <c r="D38" s="16"/>
      <c r="P38" s="7"/>
      <c r="Q38" s="8"/>
      <c r="R38" s="8"/>
      <c r="AB38" s="3"/>
      <c r="AC38" s="3"/>
      <c r="AK38" s="4"/>
    </row>
    <row r="39" spans="4:42" ht="24.95" customHeight="1" x14ac:dyDescent="0.4">
      <c r="D39" s="16"/>
      <c r="N39" s="68"/>
      <c r="P39" s="7"/>
      <c r="Q39" s="8"/>
      <c r="R39" s="8"/>
      <c r="AB39" s="3"/>
      <c r="AC39" s="3"/>
      <c r="AK39" s="4"/>
    </row>
    <row r="40" spans="4:42" ht="24.95" customHeight="1" x14ac:dyDescent="0.4">
      <c r="D40" s="16"/>
      <c r="N40" s="68"/>
      <c r="P40" s="7"/>
      <c r="Q40" s="8"/>
      <c r="R40" s="8"/>
      <c r="AB40" s="3"/>
      <c r="AC40" s="3"/>
      <c r="AK40" s="4"/>
    </row>
    <row r="41" spans="4:42" ht="24.95" customHeight="1" x14ac:dyDescent="0.4">
      <c r="D41" s="16"/>
      <c r="P41" s="7"/>
      <c r="Q41" s="8"/>
      <c r="R41" s="8"/>
      <c r="AB41" s="3"/>
      <c r="AC41" s="3"/>
      <c r="AK41" s="4"/>
    </row>
    <row r="42" spans="4:42" ht="24.95" customHeight="1" x14ac:dyDescent="0.4">
      <c r="D42" s="16"/>
      <c r="P42" s="7"/>
      <c r="Q42" s="8"/>
      <c r="R42" s="8"/>
      <c r="AB42" s="3"/>
      <c r="AC42" s="3"/>
      <c r="AK42" s="4"/>
    </row>
    <row r="43" spans="4:42" ht="24.95" customHeight="1" x14ac:dyDescent="0.4">
      <c r="D43" s="16"/>
      <c r="P43" s="7"/>
      <c r="Q43" s="8"/>
      <c r="R43" s="8"/>
      <c r="AB43" s="3"/>
      <c r="AC43" s="3"/>
      <c r="AK43" s="4"/>
    </row>
    <row r="44" spans="4:42" ht="24.95" customHeight="1" x14ac:dyDescent="0.4">
      <c r="D44" s="16"/>
      <c r="N44" s="68"/>
      <c r="P44" s="7"/>
      <c r="Q44" s="8"/>
      <c r="R44" s="8"/>
    </row>
    <row r="45" spans="4:42" ht="24.95" customHeight="1" x14ac:dyDescent="0.4">
      <c r="D45" s="16"/>
      <c r="N45" s="68"/>
      <c r="P45" s="7"/>
      <c r="Q45" s="8"/>
      <c r="R45" s="8"/>
    </row>
    <row r="46" spans="4:42" ht="24.95" customHeight="1" x14ac:dyDescent="0.4">
      <c r="D46" s="16"/>
      <c r="P46" s="7"/>
      <c r="Q46" s="8"/>
      <c r="R46" s="8"/>
    </row>
    <row r="47" spans="4:42" ht="24.95" customHeight="1" x14ac:dyDescent="0.4">
      <c r="D47" s="16"/>
      <c r="P47" s="7"/>
      <c r="Q47" s="8"/>
      <c r="R47" s="8"/>
    </row>
    <row r="48" spans="4:42" ht="24.95" customHeight="1" x14ac:dyDescent="0.4">
      <c r="D48" s="16"/>
      <c r="P48" s="7"/>
      <c r="Q48" s="8"/>
      <c r="R48" s="8"/>
    </row>
    <row r="49" spans="4:16" ht="24.95" customHeight="1" x14ac:dyDescent="0.4">
      <c r="D49" s="16"/>
      <c r="P49" s="16"/>
    </row>
    <row r="50" spans="4:16" ht="24.95" customHeight="1" x14ac:dyDescent="0.4">
      <c r="D50" s="16"/>
      <c r="P50" s="16"/>
    </row>
    <row r="51" spans="4:16" ht="24.95" customHeight="1" x14ac:dyDescent="0.4">
      <c r="D51" s="16"/>
      <c r="P51" s="16"/>
    </row>
    <row r="52" spans="4:16" ht="24.95" customHeight="1" x14ac:dyDescent="0.4">
      <c r="D52" s="16"/>
      <c r="P52" s="16"/>
    </row>
    <row r="53" spans="4:16" ht="24.95" customHeight="1" x14ac:dyDescent="0.4">
      <c r="D53" s="16"/>
      <c r="P53" s="16"/>
    </row>
  </sheetData>
  <mergeCells count="6">
    <mergeCell ref="B2:J2"/>
    <mergeCell ref="N2:V2"/>
    <mergeCell ref="Z2:AF2"/>
    <mergeCell ref="AH2:AK2"/>
    <mergeCell ref="Z25:AF25"/>
    <mergeCell ref="AH25:AK25"/>
  </mergeCells>
  <phoneticPr fontId="12" type="noConversion"/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CF22D-93AA-4E80-B07F-B48FE4736FBF}">
  <dimension ref="A1:AP53"/>
  <sheetViews>
    <sheetView showGridLines="0" zoomScale="55" zoomScaleNormal="55" workbookViewId="0">
      <selection activeCell="AH38" sqref="AG38:AH38"/>
    </sheetView>
  </sheetViews>
  <sheetFormatPr defaultRowHeight="26.25" x14ac:dyDescent="0.4"/>
  <cols>
    <col min="1" max="1" width="5.7109375" style="1" customWidth="1"/>
    <col min="2" max="3" width="16.7109375" style="1" customWidth="1"/>
    <col min="4" max="4" width="35.7109375" style="1" customWidth="1"/>
    <col min="5" max="6" width="16.7109375" style="1" customWidth="1"/>
    <col min="7" max="7" width="20.7109375" style="1" customWidth="1"/>
    <col min="8" max="9" width="20.7109375" style="1" hidden="1" customWidth="1"/>
    <col min="10" max="12" width="11.5703125" style="1" hidden="1" customWidth="1"/>
    <col min="13" max="13" width="10.7109375" style="1" customWidth="1"/>
    <col min="14" max="15" width="16.7109375" style="1" customWidth="1"/>
    <col min="16" max="16" width="35.7109375" style="1" customWidth="1"/>
    <col min="17" max="18" width="16.7109375" style="1" customWidth="1"/>
    <col min="19" max="19" width="20.7109375" style="1" customWidth="1"/>
    <col min="20" max="21" width="20.7109375" style="1" hidden="1" customWidth="1"/>
    <col min="22" max="24" width="13.7109375" style="1" hidden="1" customWidth="1"/>
    <col min="25" max="25" width="9.140625" style="1"/>
    <col min="26" max="26" width="16.7109375" style="1" customWidth="1"/>
    <col min="27" max="27" width="35.7109375" style="1" customWidth="1"/>
    <col min="28" max="29" width="16.7109375" style="1" customWidth="1"/>
    <col min="30" max="30" width="20.7109375" style="1" customWidth="1"/>
    <col min="31" max="31" width="13.7109375" style="1" hidden="1" customWidth="1"/>
    <col min="32" max="32" width="12.7109375" style="1" customWidth="1"/>
    <col min="33" max="33" width="9.140625" style="1"/>
    <col min="34" max="34" width="16.7109375" style="1" customWidth="1"/>
    <col min="35" max="35" width="35.7109375" style="1" customWidth="1"/>
    <col min="36" max="36" width="12.7109375" style="1" customWidth="1"/>
    <col min="37" max="38" width="34.42578125" style="1" hidden="1" customWidth="1"/>
    <col min="39" max="40" width="9.140625" style="1"/>
    <col min="41" max="41" width="0" style="1" hidden="1" customWidth="1"/>
    <col min="42" max="16384" width="9.140625" style="2"/>
  </cols>
  <sheetData>
    <row r="1" spans="1:42" ht="24.95" customHeight="1" thickBot="1" x14ac:dyDescent="0.45"/>
    <row r="2" spans="1:42" ht="24.95" customHeight="1" x14ac:dyDescent="0.4">
      <c r="A2" s="9"/>
      <c r="B2" s="317" t="str">
        <f>"Výsledky - Soutěže "&amp;Uvod!A15&amp;" kola NHHL "&amp;TEXT(Uvod!B15,"d.m. rrrr")&amp;" "&amp;Uvod!C15&amp;" - MUŽI "</f>
        <v xml:space="preserve">Výsledky - Soutěže 13. kola NHHL 0.1. 1900  - MUŽI </v>
      </c>
      <c r="C2" s="318"/>
      <c r="D2" s="318"/>
      <c r="E2" s="318"/>
      <c r="F2" s="318"/>
      <c r="G2" s="318"/>
      <c r="H2" s="318"/>
      <c r="I2" s="318"/>
      <c r="J2" s="319"/>
      <c r="K2" s="177"/>
      <c r="L2" s="177"/>
      <c r="M2" s="15"/>
      <c r="N2" s="308" t="str">
        <f>"Výsledky - Soutěže "&amp;Uvod!A15&amp;" kola NHHL "&amp;TEXT(Uvod!B15,"d.m. rrrr")&amp;" "&amp;Uvod!C15&amp;" - ŽENY "</f>
        <v xml:space="preserve">Výsledky - Soutěže 13. kola NHHL 0.1. 1900  - ŽENY </v>
      </c>
      <c r="O2" s="309"/>
      <c r="P2" s="309"/>
      <c r="Q2" s="309"/>
      <c r="R2" s="309"/>
      <c r="S2" s="309"/>
      <c r="T2" s="320"/>
      <c r="U2" s="320"/>
      <c r="V2" s="310"/>
      <c r="W2" s="180"/>
      <c r="X2" s="180"/>
      <c r="Y2" s="15"/>
      <c r="Z2" s="324" t="str">
        <f>B2</f>
        <v xml:space="preserve">Výsledky - Soutěže 13. kola NHHL 0.1. 1900  - MUŽI </v>
      </c>
      <c r="AA2" s="325"/>
      <c r="AB2" s="325"/>
      <c r="AC2" s="325"/>
      <c r="AD2" s="325"/>
      <c r="AE2" s="325"/>
      <c r="AF2" s="326"/>
      <c r="AH2" s="324" t="s">
        <v>145</v>
      </c>
      <c r="AI2" s="325"/>
      <c r="AJ2" s="325"/>
      <c r="AK2" s="327"/>
      <c r="AL2" s="15"/>
      <c r="AM2" s="15"/>
    </row>
    <row r="3" spans="1:42" ht="24.95" customHeight="1" x14ac:dyDescent="0.4">
      <c r="B3" s="21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3" t="s">
        <v>5</v>
      </c>
      <c r="H3" s="22" t="s">
        <v>73</v>
      </c>
      <c r="I3" s="22" t="s">
        <v>74</v>
      </c>
      <c r="J3" s="1" t="s">
        <v>27</v>
      </c>
      <c r="N3" s="28" t="s">
        <v>0</v>
      </c>
      <c r="O3" s="24" t="s">
        <v>1</v>
      </c>
      <c r="P3" s="24" t="s">
        <v>2</v>
      </c>
      <c r="Q3" s="24" t="s">
        <v>3</v>
      </c>
      <c r="R3" s="24" t="s">
        <v>4</v>
      </c>
      <c r="S3" s="24" t="s">
        <v>5</v>
      </c>
      <c r="T3" s="233" t="s">
        <v>73</v>
      </c>
      <c r="U3" s="233" t="s">
        <v>74</v>
      </c>
      <c r="V3" s="29" t="s">
        <v>27</v>
      </c>
      <c r="Y3" s="15"/>
      <c r="Z3" s="31" t="s">
        <v>1</v>
      </c>
      <c r="AA3" s="25" t="s">
        <v>2</v>
      </c>
      <c r="AB3" s="25" t="s">
        <v>3</v>
      </c>
      <c r="AC3" s="25" t="s">
        <v>4</v>
      </c>
      <c r="AD3" s="25" t="s">
        <v>5</v>
      </c>
      <c r="AE3" s="25" t="s">
        <v>27</v>
      </c>
      <c r="AF3" s="29" t="s">
        <v>7</v>
      </c>
      <c r="AH3" s="31" t="s">
        <v>1</v>
      </c>
      <c r="AI3" s="25" t="s">
        <v>2</v>
      </c>
      <c r="AJ3" s="25" t="s">
        <v>7</v>
      </c>
      <c r="AK3" s="46" t="s">
        <v>27</v>
      </c>
      <c r="AL3" s="94" t="s">
        <v>73</v>
      </c>
      <c r="AM3" s="15"/>
      <c r="AP3" s="1"/>
    </row>
    <row r="4" spans="1:42" ht="24.95" customHeight="1" x14ac:dyDescent="0.4">
      <c r="B4" s="6"/>
      <c r="C4" s="1" t="str">
        <f>IF(Tabulka1710132531374349556167737985[[#This Row],[ ]]="","",IF(Tabulka1710132531374349556167737985[[#This Row],[ ]]="NEÚČAST","",IF(OR(Tabulka1710132531374349556167737985[Výsledný čas]="N",Tabulka1710132531374349556167737985[Výsledný čas]="D"),$L$4-$L$5,_xlfn.RANK.EQ(Tabulka1710132531374349556167737985[[#This Row],[ ]],Tabulka1710132531374349556167737985[[ ]],1))))</f>
        <v/>
      </c>
      <c r="D4" s="7"/>
      <c r="E4" s="8"/>
      <c r="F4" s="8"/>
      <c r="G4" s="9" t="str">
        <f>IF(OR(Tabulka1710132531374349556167737985[[#This Row],[LP]]="N",Tabulka1710132531374349556167737985[[#This Row],[PP]]="N"),"N",IF(OR(Tabulka1710132531374349556167737985[[#This Row],[LP]]="D",Tabulka1710132531374349556167737985[[#This Row],[PP]]="D"),"D",IF(OR(Tabulka1710132531374349556167737985[[#This Row],[LP]]="NEÚČAST",Tabulka1710132531374349556167737985[[#This Row],[PP]]="NEÚČAST"),"NEÚČAST",IF(OR(Tabulka1710132531374349556167737985[[#This Row],[LP]]="",Tabulka1710132531374349556167737985[[#This Row],[PP]]=""),"",MAX(Tabulka1710132531374349556167737985[[#This Row],[LP]:[PP]])))))</f>
        <v/>
      </c>
      <c r="H4" s="1">
        <f>COUNTIF(Tabulka1710132531374349556167737985[[#This Row],[Tým]],"*")</f>
        <v>0</v>
      </c>
      <c r="I4" s="1">
        <f>COUNTIF(Tabulka1710132531374349556167737985[[#This Row],[Výsledný čas]],"NEÚČAST")</f>
        <v>0</v>
      </c>
      <c r="J4" s="1" t="str">
        <f>IF(Tabulka1710132531374349556167737985[[#This Row],[Výsledný čas]]="N",998,IF(Tabulka1710132531374349556167737985[[#This Row],[Výsledný čas]]="D",998,IF(Tabulka1710132531374349556167737985[[#This Row],[Výsledný čas]]="","",Tabulka1710132531374349556167737985[[#This Row],[Výsledný čas]])))</f>
        <v/>
      </c>
      <c r="L4" s="1">
        <f>SUM(Tabulka1710132531374349556167737985[Sloupec1])</f>
        <v>0</v>
      </c>
      <c r="N4" s="30"/>
      <c r="O4" s="25" t="str">
        <f>IF(Tabulka17101363036424854606672788490[[#This Row],[ ]]="","",IF(Tabulka17101363036424854606672788490[[#This Row],[ ]]="NEÚČAST","",IF(OR(Tabulka17101363036424854606672788490[Výsledný čas]="N",Tabulka17101363036424854606672788490[Výsledný čas]="D"),$X$4-$X$5,_xlfn.RANK.EQ(Tabulka17101363036424854606672788490[[#This Row],[ ]],Tabulka17101363036424854606672788490[[ ]],1))))</f>
        <v/>
      </c>
      <c r="P4" s="26"/>
      <c r="Q4" s="5"/>
      <c r="R4" s="5"/>
      <c r="S4" s="25" t="str">
        <f>IF(OR(Tabulka17101363036424854606672788490[[#This Row],[LP]]="N",Tabulka17101363036424854606672788490[[#This Row],[PP]]="N"),"N",IF(OR(Tabulka17101363036424854606672788490[[#This Row],[LP]]="D",Tabulka17101363036424854606672788490[[#This Row],[PP]]="D"),"D",IF(OR(Tabulka17101363036424854606672788490[[#This Row],[LP]]="NEÚČAST",Tabulka17101363036424854606672788490[[#This Row],[PP]]="NEÚČAST"),"NEÚČAST",IF(OR(Tabulka17101363036424854606672788490[[#This Row],[LP]]="",Tabulka17101363036424854606672788490[[#This Row],[PP]]=""),"",MAX(Tabulka17101363036424854606672788490[[#This Row],[LP]:[PP]])))))</f>
        <v/>
      </c>
      <c r="T4" s="46">
        <f>COUNTIF(Tabulka17101363036424854606672788490[[#This Row],[Tým]],"*")</f>
        <v>0</v>
      </c>
      <c r="U4" s="46">
        <f>COUNTIF(Tabulka17101363036424854606672788490[[#This Row],[Výsledný čas]],"NEÚČAST")</f>
        <v>0</v>
      </c>
      <c r="V4" s="29" t="str">
        <f>IF(Tabulka17101363036424854606672788490[[#This Row],[Výsledný čas]]="N",998,IF(Tabulka17101363036424854606672788490[[#This Row],[Výsledný čas]]="D",998,IF(Tabulka17101363036424854606672788490[[#This Row],[Výsledný čas]]="","",Tabulka17101363036424854606672788490[[#This Row],[Výsledný čas]])))</f>
        <v/>
      </c>
      <c r="X4" s="1">
        <f>SUM(Tabulka17101363036424854606672788490[Sloupec1])</f>
        <v>0</v>
      </c>
      <c r="Y4" s="15"/>
      <c r="Z4" s="31" t="e">
        <f>IF(OR(Tabulka3811142632384450566268748086[Výsledný čas]="N",Tabulka3811142632384450566268748086[Výsledný čas]="D",Tabulka3811142632384450566268748086[Výsledný čas]="NEÚČAST"),Uvod!$E$4,_xlfn.RANK.EQ(Tabulka3811142632384450566268748086[[#This Row],[ ]],Tabulka3811142632384450566268748086[[ ]],1))</f>
        <v>#N/A</v>
      </c>
      <c r="AA4" s="27"/>
      <c r="AB4" s="44" t="e">
        <f>VLOOKUP(Tabulka3811142632384450566268748086[[#This Row],[Tým]],Tabulka1710132531374349556167737985[[Tým]:[ ]],2,FALSE)</f>
        <v>#N/A</v>
      </c>
      <c r="AC4" s="44" t="e">
        <f>VLOOKUP(Tabulka3811142632384450566268748086[[#This Row],[Tým]],Tabulka1710132531374349556167737985[[Tým]:[ ]],3,FALSE)</f>
        <v>#N/A</v>
      </c>
      <c r="AD4" s="25" t="e">
        <f>VLOOKUP(Tabulka3811142632384450566268748086[[#This Row],[Tým]],Tabulka1710132531374349556167737985[[Tým]:[ ]],4,FALSE)</f>
        <v>#N/A</v>
      </c>
      <c r="AE4" s="25" t="e">
        <f>VLOOKUP(Tabulka3811142632384450566268748086[[#This Row],[Tým]],Tabulka1710132531374349556167737985[[Tým]:[ ]],7,FALSE)</f>
        <v>#N/A</v>
      </c>
      <c r="AF4" s="29" t="e">
        <f>IF(Tabulka3811142632384450566268748086[[#This Row],[Výsledný čas]]="N",5,IF(Tabulka3811142632384450566268748086[[#This Row],[Výsledný čas]]="D",0,IF(Tabulka3811142632384450566268748086[[#This Row],[Výsledný čas]]="NEÚČAST",0,Tabulka4[[#Totals],[Týmy muži]]+6-Tabulka3811142632384450566268748086[[#This Row],[Umístění]])))</f>
        <v>#N/A</v>
      </c>
      <c r="AH4" s="31" t="e">
        <f>_xlfn.RANK.EQ(Tabulka5912152733394551576369758187[[#This Row],[Body]],Tabulka5912152733394551576369758187[Body],0)</f>
        <v>#N/A</v>
      </c>
      <c r="AI4" s="27"/>
      <c r="AJ4" s="25" t="e">
        <f>VLOOKUP(Tabulka5912152733394551576369758187[[#This Row],[Tým]],Tabulka3811142632384450566268748086[[Tým]:[Body]],6,FALSE)+Tabulka5912152733394551576369758187[[#This Row],[ ]]</f>
        <v>#N/A</v>
      </c>
      <c r="AK4" s="47" t="e">
        <f>VLOOKUP(Tabulka5912152733394551576369758187[[#This Row],[Tým]],Tabulka59121527333945515763697581[[Tým]:[Body]],2,FALSE)</f>
        <v>#N/A</v>
      </c>
      <c r="AL4" s="92" t="e">
        <f>Tabulka5912152733394551576369758187[[#This Row],[Umístění]]</f>
        <v>#N/A</v>
      </c>
      <c r="AM4" s="15"/>
      <c r="AP4" s="1"/>
    </row>
    <row r="5" spans="1:42" ht="24.95" customHeight="1" x14ac:dyDescent="0.4">
      <c r="B5" s="15"/>
      <c r="C5" s="1" t="str">
        <f>IF(Tabulka1710132531374349556167737985[[#This Row],[ ]]="","",IF(Tabulka1710132531374349556167737985[[#This Row],[ ]]="NEÚČAST","",IF(OR(Tabulka1710132531374349556167737985[Výsledný čas]="N",Tabulka1710132531374349556167737985[Výsledný čas]="D"),$L$4-$L$5,_xlfn.RANK.EQ(Tabulka1710132531374349556167737985[[#This Row],[ ]],Tabulka1710132531374349556167737985[[ ]],1))))</f>
        <v/>
      </c>
      <c r="D5" s="16"/>
      <c r="G5" s="9" t="str">
        <f>IF(OR(Tabulka1710132531374349556167737985[[#This Row],[LP]]="N",Tabulka1710132531374349556167737985[[#This Row],[PP]]="N"),"N",IF(OR(Tabulka1710132531374349556167737985[[#This Row],[LP]]="D",Tabulka1710132531374349556167737985[[#This Row],[PP]]="D"),"D",IF(OR(Tabulka1710132531374349556167737985[[#This Row],[LP]]="NEÚČAST",Tabulka1710132531374349556167737985[[#This Row],[PP]]="NEÚČAST"),"NEÚČAST",IF(OR(Tabulka1710132531374349556167737985[[#This Row],[LP]]="",Tabulka1710132531374349556167737985[[#This Row],[PP]]=""),"",MAX(Tabulka1710132531374349556167737985[[#This Row],[LP]:[PP]])))))</f>
        <v/>
      </c>
      <c r="H5" s="1">
        <f>COUNTIF(Tabulka1710132531374349556167737985[[#This Row],[Tým]],"*")</f>
        <v>0</v>
      </c>
      <c r="I5" s="1">
        <f>COUNTIF(Tabulka1710132531374349556167737985[[#This Row],[Výsledný čas]],"NEÚČAST")</f>
        <v>0</v>
      </c>
      <c r="J5" s="1" t="str">
        <f>IF(Tabulka1710132531374349556167737985[[#This Row],[Výsledný čas]]="N",998,IF(Tabulka1710132531374349556167737985[[#This Row],[Výsledný čas]]="D",998,IF(Tabulka1710132531374349556167737985[[#This Row],[Výsledný čas]]="","",Tabulka1710132531374349556167737985[[#This Row],[Výsledný čas]])))</f>
        <v/>
      </c>
      <c r="L5" s="1">
        <f>SUM(Tabulka1710132531374349556167737985[Sloupec2])</f>
        <v>0</v>
      </c>
      <c r="N5" s="31"/>
      <c r="O5" s="25" t="str">
        <f>IF(Tabulka17101363036424854606672788490[[#This Row],[ ]]="","",IF(Tabulka17101363036424854606672788490[[#This Row],[ ]]="NEÚČAST","",IF(OR(Tabulka17101363036424854606672788490[Výsledný čas]="N",Tabulka17101363036424854606672788490[Výsledný čas]="D"),$X$4-$X$5,_xlfn.RANK.EQ(Tabulka17101363036424854606672788490[[#This Row],[ ]],Tabulka17101363036424854606672788490[[ ]],1))))</f>
        <v/>
      </c>
      <c r="P5" s="26"/>
      <c r="Q5" s="5"/>
      <c r="R5" s="5"/>
      <c r="S5" s="25" t="str">
        <f>IF(OR(Tabulka17101363036424854606672788490[[#This Row],[LP]]="N",Tabulka17101363036424854606672788490[[#This Row],[PP]]="N"),"N",IF(OR(Tabulka17101363036424854606672788490[[#This Row],[LP]]="D",Tabulka17101363036424854606672788490[[#This Row],[PP]]="D"),"D",IF(OR(Tabulka17101363036424854606672788490[[#This Row],[LP]]="NEÚČAST",Tabulka17101363036424854606672788490[[#This Row],[PP]]="NEÚČAST"),"NEÚČAST",IF(OR(Tabulka17101363036424854606672788490[[#This Row],[LP]]="",Tabulka17101363036424854606672788490[[#This Row],[PP]]=""),"",MAX(Tabulka17101363036424854606672788490[[#This Row],[LP]:[PP]])))))</f>
        <v/>
      </c>
      <c r="T5" s="46">
        <f>COUNTIF(Tabulka17101363036424854606672788490[[#This Row],[Tým]],"*")</f>
        <v>0</v>
      </c>
      <c r="U5" s="46">
        <f>COUNTIF(Tabulka17101363036424854606672788490[[#This Row],[Výsledný čas]],"NEÚČAST")</f>
        <v>0</v>
      </c>
      <c r="V5" s="29" t="str">
        <f>IF(Tabulka17101363036424854606672788490[[#This Row],[Výsledný čas]]="N",998,IF(Tabulka17101363036424854606672788490[[#This Row],[Výsledný čas]]="D",998,IF(Tabulka17101363036424854606672788490[[#This Row],[Výsledný čas]]="","",Tabulka17101363036424854606672788490[[#This Row],[Výsledný čas]])))</f>
        <v/>
      </c>
      <c r="X5" s="1">
        <f>SUM(Tabulka17101363036424854606672788490[Sloupec2])</f>
        <v>0</v>
      </c>
      <c r="Y5" s="15"/>
      <c r="Z5" s="31" t="e">
        <f>IF(OR(Tabulka3811142632384450566268748086[Výsledný čas]="N",Tabulka3811142632384450566268748086[Výsledný čas]="D",Tabulka3811142632384450566268748086[Výsledný čas]="NEÚČAST"),Uvod!$E$4,_xlfn.RANK.EQ(Tabulka3811142632384450566268748086[[#This Row],[ ]],Tabulka3811142632384450566268748086[[ ]],1))</f>
        <v>#N/A</v>
      </c>
      <c r="AA5" s="27"/>
      <c r="AB5" s="44" t="e">
        <f>VLOOKUP(Tabulka3811142632384450566268748086[[#This Row],[Tým]],Tabulka1710132531374349556167737985[[Tým]:[ ]],2,FALSE)</f>
        <v>#N/A</v>
      </c>
      <c r="AC5" s="44" t="e">
        <f>VLOOKUP(Tabulka3811142632384450566268748086[[#This Row],[Tým]],Tabulka1710132531374349556167737985[[Tým]:[ ]],3,FALSE)</f>
        <v>#N/A</v>
      </c>
      <c r="AD5" s="25" t="e">
        <f>VLOOKUP(Tabulka3811142632384450566268748086[[#This Row],[Tým]],Tabulka1710132531374349556167737985[[Tým]:[ ]],4,FALSE)</f>
        <v>#N/A</v>
      </c>
      <c r="AE5" s="25" t="e">
        <f>VLOOKUP(Tabulka3811142632384450566268748086[[#This Row],[Tým]],Tabulka1710132531374349556167737985[[Tým]:[ ]],7,FALSE)</f>
        <v>#N/A</v>
      </c>
      <c r="AF5" s="29" t="e">
        <f>IF(Tabulka3811142632384450566268748086[[#This Row],[Výsledný čas]]="N",5,IF(Tabulka3811142632384450566268748086[[#This Row],[Výsledný čas]]="D",0,IF(Tabulka3811142632384450566268748086[[#This Row],[Výsledný čas]]="NEÚČAST",0,Tabulka4[[#Totals],[Týmy muži]]+6-Tabulka3811142632384450566268748086[[#This Row],[Umístění]])))</f>
        <v>#N/A</v>
      </c>
      <c r="AH5" s="31" t="e">
        <f>_xlfn.RANK.EQ(Tabulka5912152733394551576369758187[[#This Row],[Body]],Tabulka5912152733394551576369758187[Body],0)</f>
        <v>#N/A</v>
      </c>
      <c r="AI5" s="27"/>
      <c r="AJ5" s="25" t="e">
        <f>VLOOKUP(Tabulka5912152733394551576369758187[[#This Row],[Tým]],Tabulka3811142632384450566268748086[[Tým]:[Body]],6,FALSE)+Tabulka5912152733394551576369758187[[#This Row],[ ]]</f>
        <v>#N/A</v>
      </c>
      <c r="AK5" s="47" t="e">
        <f>VLOOKUP(Tabulka5912152733394551576369758187[[#This Row],[Tým]],Tabulka59121527333945515763697581[[Tým]:[Body]],2,FALSE)</f>
        <v>#N/A</v>
      </c>
      <c r="AL5" s="47" t="e">
        <f>Tabulka5912152733394551576369758187[[#This Row],[Umístění]]</f>
        <v>#N/A</v>
      </c>
      <c r="AM5" s="15"/>
      <c r="AP5" s="1"/>
    </row>
    <row r="6" spans="1:42" ht="24.95" customHeight="1" thickBot="1" x14ac:dyDescent="0.45">
      <c r="B6" s="17"/>
      <c r="C6" s="18" t="str">
        <f>IF(Tabulka1710132531374349556167737985[[#This Row],[ ]]="","",IF(Tabulka1710132531374349556167737985[[#This Row],[ ]]="NEÚČAST","",IF(OR(Tabulka1710132531374349556167737985[Výsledný čas]="N",Tabulka1710132531374349556167737985[Výsledný čas]="D"),$L$4-$L$5,_xlfn.RANK.EQ(Tabulka1710132531374349556167737985[[#This Row],[ ]],Tabulka1710132531374349556167737985[[ ]],1))))</f>
        <v/>
      </c>
      <c r="D6" s="19"/>
      <c r="E6" s="18"/>
      <c r="F6" s="18"/>
      <c r="G6" s="20" t="str">
        <f>IF(OR(Tabulka1710132531374349556167737985[[#This Row],[LP]]="N",Tabulka1710132531374349556167737985[[#This Row],[PP]]="N"),"N",IF(OR(Tabulka1710132531374349556167737985[[#This Row],[LP]]="D",Tabulka1710132531374349556167737985[[#This Row],[PP]]="D"),"D",IF(OR(Tabulka1710132531374349556167737985[[#This Row],[LP]]="NEÚČAST",Tabulka1710132531374349556167737985[[#This Row],[PP]]="NEÚČAST"),"NEÚČAST",IF(OR(Tabulka1710132531374349556167737985[[#This Row],[LP]]="",Tabulka1710132531374349556167737985[[#This Row],[PP]]=""),"",MAX(Tabulka1710132531374349556167737985[[#This Row],[LP]:[PP]])))))</f>
        <v/>
      </c>
      <c r="H6" s="1">
        <f>COUNTIF(Tabulka1710132531374349556167737985[[#This Row],[Tým]],"*")</f>
        <v>0</v>
      </c>
      <c r="I6" s="1">
        <f>COUNTIF(Tabulka1710132531374349556167737985[[#This Row],[Výsledný čas]],"NEÚČAST")</f>
        <v>0</v>
      </c>
      <c r="J6" s="1" t="str">
        <f>IF(Tabulka1710132531374349556167737985[[#This Row],[Výsledný čas]]="N",998,IF(Tabulka1710132531374349556167737985[[#This Row],[Výsledný čas]]="D",998,IF(Tabulka1710132531374349556167737985[[#This Row],[Výsledný čas]]="","",Tabulka1710132531374349556167737985[[#This Row],[Výsledný čas]])))</f>
        <v/>
      </c>
      <c r="N6" s="31"/>
      <c r="O6" s="25" t="str">
        <f>IF(Tabulka17101363036424854606672788490[[#This Row],[ ]]="","",IF(Tabulka17101363036424854606672788490[[#This Row],[ ]]="NEÚČAST","",IF(OR(Tabulka17101363036424854606672788490[Výsledný čas]="N",Tabulka17101363036424854606672788490[Výsledný čas]="D"),$X$4-$X$5,_xlfn.RANK.EQ(Tabulka17101363036424854606672788490[[#This Row],[ ]],Tabulka17101363036424854606672788490[[ ]],1))))</f>
        <v/>
      </c>
      <c r="P6" s="26"/>
      <c r="Q6" s="5"/>
      <c r="R6" s="5"/>
      <c r="S6" s="25" t="str">
        <f>IF(OR(Tabulka17101363036424854606672788490[[#This Row],[LP]]="N",Tabulka17101363036424854606672788490[[#This Row],[PP]]="N"),"N",IF(OR(Tabulka17101363036424854606672788490[[#This Row],[LP]]="D",Tabulka17101363036424854606672788490[[#This Row],[PP]]="D"),"D",IF(OR(Tabulka17101363036424854606672788490[[#This Row],[LP]]="NEÚČAST",Tabulka17101363036424854606672788490[[#This Row],[PP]]="NEÚČAST"),"NEÚČAST",IF(OR(Tabulka17101363036424854606672788490[[#This Row],[LP]]="",Tabulka17101363036424854606672788490[[#This Row],[PP]]=""),"",MAX(Tabulka17101363036424854606672788490[[#This Row],[LP]:[PP]])))))</f>
        <v/>
      </c>
      <c r="T6" s="46">
        <f>COUNTIF(Tabulka17101363036424854606672788490[[#This Row],[Tým]],"*")</f>
        <v>0</v>
      </c>
      <c r="U6" s="46">
        <f>COUNTIF(Tabulka17101363036424854606672788490[[#This Row],[Výsledný čas]],"NEÚČAST")</f>
        <v>0</v>
      </c>
      <c r="V6" s="29" t="str">
        <f>IF(Tabulka17101363036424854606672788490[[#This Row],[Výsledný čas]]="N",998,IF(Tabulka17101363036424854606672788490[[#This Row],[Výsledný čas]]="D",998,IF(Tabulka17101363036424854606672788490[[#This Row],[Výsledný čas]]="","",Tabulka17101363036424854606672788490[[#This Row],[Výsledný čas]])))</f>
        <v/>
      </c>
      <c r="Y6" s="15"/>
      <c r="Z6" s="31" t="e">
        <f>IF(OR(Tabulka3811142632384450566268748086[Výsledný čas]="N",Tabulka3811142632384450566268748086[Výsledný čas]="D",Tabulka3811142632384450566268748086[Výsledný čas]="NEÚČAST"),Uvod!$E$4,_xlfn.RANK.EQ(Tabulka3811142632384450566268748086[[#This Row],[ ]],Tabulka3811142632384450566268748086[[ ]],1))</f>
        <v>#N/A</v>
      </c>
      <c r="AA6" s="27"/>
      <c r="AB6" s="44" t="e">
        <f>VLOOKUP(Tabulka3811142632384450566268748086[[#This Row],[Tým]],Tabulka1710132531374349556167737985[[Tým]:[ ]],2,FALSE)</f>
        <v>#N/A</v>
      </c>
      <c r="AC6" s="44" t="e">
        <f>VLOOKUP(Tabulka3811142632384450566268748086[[#This Row],[Tým]],Tabulka1710132531374349556167737985[[Tým]:[ ]],3,FALSE)</f>
        <v>#N/A</v>
      </c>
      <c r="AD6" s="25" t="e">
        <f>VLOOKUP(Tabulka3811142632384450566268748086[[#This Row],[Tým]],Tabulka1710132531374349556167737985[[Tým]:[ ]],4,FALSE)</f>
        <v>#N/A</v>
      </c>
      <c r="AE6" s="25" t="e">
        <f>VLOOKUP(Tabulka3811142632384450566268748086[[#This Row],[Tým]],Tabulka1710132531374349556167737985[[Tým]:[ ]],7,FALSE)</f>
        <v>#N/A</v>
      </c>
      <c r="AF6" s="29" t="e">
        <f>IF(Tabulka3811142632384450566268748086[[#This Row],[Výsledný čas]]="N",5,IF(Tabulka3811142632384450566268748086[[#This Row],[Výsledný čas]]="D",0,IF(Tabulka3811142632384450566268748086[[#This Row],[Výsledný čas]]="NEÚČAST",0,Tabulka4[[#Totals],[Týmy muži]]+6-Tabulka3811142632384450566268748086[[#This Row],[Umístění]])))</f>
        <v>#N/A</v>
      </c>
      <c r="AH6" s="31" t="e">
        <f>_xlfn.RANK.EQ(Tabulka5912152733394551576369758187[[#This Row],[Body]],Tabulka5912152733394551576369758187[Body],0)</f>
        <v>#N/A</v>
      </c>
      <c r="AI6" s="27"/>
      <c r="AJ6" s="25" t="e">
        <f>VLOOKUP(Tabulka5912152733394551576369758187[[#This Row],[Tým]],Tabulka3811142632384450566268748086[[Tým]:[Body]],6,FALSE)+Tabulka5912152733394551576369758187[[#This Row],[ ]]</f>
        <v>#N/A</v>
      </c>
      <c r="AK6" s="47" t="e">
        <f>VLOOKUP(Tabulka5912152733394551576369758187[[#This Row],[Tým]],Tabulka59121527333945515763697581[[Tým]:[Body]],2,FALSE)</f>
        <v>#N/A</v>
      </c>
      <c r="AL6" s="47" t="e">
        <f>Tabulka5912152733394551576369758187[[#This Row],[Umístění]]</f>
        <v>#N/A</v>
      </c>
      <c r="AM6" s="15"/>
      <c r="AP6" s="1"/>
    </row>
    <row r="7" spans="1:42" ht="24.95" customHeight="1" x14ac:dyDescent="0.4">
      <c r="N7" s="32"/>
      <c r="O7" s="25" t="str">
        <f>IF(Tabulka17101363036424854606672788490[[#This Row],[ ]]="","",IF(Tabulka17101363036424854606672788490[[#This Row],[ ]]="NEÚČAST","",IF(OR(Tabulka17101363036424854606672788490[Výsledný čas]="N",Tabulka17101363036424854606672788490[Výsledný čas]="D"),$X$4-$X$5,_xlfn.RANK.EQ(Tabulka17101363036424854606672788490[[#This Row],[ ]],Tabulka17101363036424854606672788490[[ ]],1))))</f>
        <v/>
      </c>
      <c r="P7" s="26"/>
      <c r="Q7" s="5"/>
      <c r="R7" s="5"/>
      <c r="S7" s="25" t="str">
        <f>IF(OR(Tabulka17101363036424854606672788490[[#This Row],[LP]]="N",Tabulka17101363036424854606672788490[[#This Row],[PP]]="N"),"N",IF(OR(Tabulka17101363036424854606672788490[[#This Row],[LP]]="D",Tabulka17101363036424854606672788490[[#This Row],[PP]]="D"),"D",IF(OR(Tabulka17101363036424854606672788490[[#This Row],[LP]]="NEÚČAST",Tabulka17101363036424854606672788490[[#This Row],[PP]]="NEÚČAST"),"NEÚČAST",IF(OR(Tabulka17101363036424854606672788490[[#This Row],[LP]]="",Tabulka17101363036424854606672788490[[#This Row],[PP]]=""),"",MAX(Tabulka17101363036424854606672788490[[#This Row],[LP]:[PP]])))))</f>
        <v/>
      </c>
      <c r="T7" s="46">
        <f>COUNTIF(Tabulka17101363036424854606672788490[[#This Row],[Tým]],"*")</f>
        <v>0</v>
      </c>
      <c r="U7" s="46">
        <f>COUNTIF(Tabulka17101363036424854606672788490[[#This Row],[Výsledný čas]],"NEÚČAST")</f>
        <v>0</v>
      </c>
      <c r="V7" s="29" t="str">
        <f>IF(Tabulka17101363036424854606672788490[[#This Row],[Výsledný čas]]="N",998,IF(Tabulka17101363036424854606672788490[[#This Row],[Výsledný čas]]="D",998,IF(Tabulka17101363036424854606672788490[[#This Row],[Výsledný čas]]="","",Tabulka17101363036424854606672788490[[#This Row],[Výsledný čas]])))</f>
        <v/>
      </c>
      <c r="Y7" s="15"/>
      <c r="Z7" s="31" t="e">
        <f>IF(OR(Tabulka3811142632384450566268748086[Výsledný čas]="N",Tabulka3811142632384450566268748086[Výsledný čas]="D",Tabulka3811142632384450566268748086[Výsledný čas]="NEÚČAST"),Uvod!$E$4,_xlfn.RANK.EQ(Tabulka3811142632384450566268748086[[#This Row],[ ]],Tabulka3811142632384450566268748086[[ ]],1))</f>
        <v>#N/A</v>
      </c>
      <c r="AA7" s="27"/>
      <c r="AB7" s="44" t="e">
        <f>VLOOKUP(Tabulka3811142632384450566268748086[[#This Row],[Tým]],Tabulka1710132531374349556167737985[[Tým]:[ ]],2,FALSE)</f>
        <v>#N/A</v>
      </c>
      <c r="AC7" s="44" t="e">
        <f>VLOOKUP(Tabulka3811142632384450566268748086[[#This Row],[Tým]],Tabulka1710132531374349556167737985[[Tým]:[ ]],3,FALSE)</f>
        <v>#N/A</v>
      </c>
      <c r="AD7" s="25" t="e">
        <f>VLOOKUP(Tabulka3811142632384450566268748086[[#This Row],[Tým]],Tabulka1710132531374349556167737985[[Tým]:[ ]],4,FALSE)</f>
        <v>#N/A</v>
      </c>
      <c r="AE7" s="25" t="e">
        <f>VLOOKUP(Tabulka3811142632384450566268748086[[#This Row],[Tým]],Tabulka1710132531374349556167737985[[Tým]:[ ]],7,FALSE)</f>
        <v>#N/A</v>
      </c>
      <c r="AF7" s="29" t="e">
        <f>IF(Tabulka3811142632384450566268748086[[#This Row],[Výsledný čas]]="N",5,IF(Tabulka3811142632384450566268748086[[#This Row],[Výsledný čas]]="D",0,IF(Tabulka3811142632384450566268748086[[#This Row],[Výsledný čas]]="NEÚČAST",0,Tabulka4[[#Totals],[Týmy muži]]+6-Tabulka3811142632384450566268748086[[#This Row],[Umístění]])))</f>
        <v>#N/A</v>
      </c>
      <c r="AH7" s="31" t="e">
        <f>_xlfn.RANK.EQ(Tabulka5912152733394551576369758187[[#This Row],[Body]],Tabulka5912152733394551576369758187[Body],0)</f>
        <v>#N/A</v>
      </c>
      <c r="AI7" s="27"/>
      <c r="AJ7" s="25" t="e">
        <f>VLOOKUP(Tabulka5912152733394551576369758187[[#This Row],[Tým]],Tabulka3811142632384450566268748086[[Tým]:[Body]],6,FALSE)+Tabulka5912152733394551576369758187[[#This Row],[ ]]</f>
        <v>#N/A</v>
      </c>
      <c r="AK7" s="47" t="e">
        <f>VLOOKUP(Tabulka5912152733394551576369758187[[#This Row],[Tým]],Tabulka59121527333945515763697581[[Tým]:[Body]],2,FALSE)</f>
        <v>#N/A</v>
      </c>
      <c r="AL7" s="47" t="e">
        <f>Tabulka5912152733394551576369758187[[#This Row],[Umístění]]</f>
        <v>#N/A</v>
      </c>
      <c r="AM7" s="15"/>
      <c r="AP7" s="1"/>
    </row>
    <row r="8" spans="1:42" ht="24.95" customHeight="1" x14ac:dyDescent="0.4">
      <c r="N8" s="32"/>
      <c r="O8" s="25" t="str">
        <f>IF(Tabulka17101363036424854606672788490[[#This Row],[ ]]="","",IF(Tabulka17101363036424854606672788490[[#This Row],[ ]]="NEÚČAST","",IF(OR(Tabulka17101363036424854606672788490[Výsledný čas]="N",Tabulka17101363036424854606672788490[Výsledný čas]="D"),$X$4-$X$5,_xlfn.RANK.EQ(Tabulka17101363036424854606672788490[[#This Row],[ ]],Tabulka17101363036424854606672788490[[ ]],1))))</f>
        <v/>
      </c>
      <c r="P8" s="26"/>
      <c r="Q8" s="5"/>
      <c r="R8" s="5"/>
      <c r="S8" s="25" t="str">
        <f>IF(OR(Tabulka17101363036424854606672788490[[#This Row],[LP]]="N",Tabulka17101363036424854606672788490[[#This Row],[PP]]="N"),"N",IF(OR(Tabulka17101363036424854606672788490[[#This Row],[LP]]="D",Tabulka17101363036424854606672788490[[#This Row],[PP]]="D"),"D",IF(OR(Tabulka17101363036424854606672788490[[#This Row],[LP]]="NEÚČAST",Tabulka17101363036424854606672788490[[#This Row],[PP]]="NEÚČAST"),"NEÚČAST",IF(OR(Tabulka17101363036424854606672788490[[#This Row],[LP]]="",Tabulka17101363036424854606672788490[[#This Row],[PP]]=""),"",MAX(Tabulka17101363036424854606672788490[[#This Row],[LP]:[PP]])))))</f>
        <v/>
      </c>
      <c r="T8" s="46">
        <f>COUNTIF(Tabulka17101363036424854606672788490[[#This Row],[Tým]],"*")</f>
        <v>0</v>
      </c>
      <c r="U8" s="46">
        <f>COUNTIF(Tabulka17101363036424854606672788490[[#This Row],[Výsledný čas]],"NEÚČAST")</f>
        <v>0</v>
      </c>
      <c r="V8" s="29" t="str">
        <f>IF(Tabulka17101363036424854606672788490[[#This Row],[Výsledný čas]]="N",998,IF(Tabulka17101363036424854606672788490[[#This Row],[Výsledný čas]]="D",998,IF(Tabulka17101363036424854606672788490[[#This Row],[Výsledný čas]]="","",Tabulka17101363036424854606672788490[[#This Row],[Výsledný čas]])))</f>
        <v/>
      </c>
      <c r="Y8" s="15"/>
      <c r="Z8" s="31" t="e">
        <f>IF(OR(Tabulka3811142632384450566268748086[Výsledný čas]="N",Tabulka3811142632384450566268748086[Výsledný čas]="D",Tabulka3811142632384450566268748086[Výsledný čas]="NEÚČAST"),Uvod!$E$4,_xlfn.RANK.EQ(Tabulka3811142632384450566268748086[[#This Row],[ ]],Tabulka3811142632384450566268748086[[ ]],1))</f>
        <v>#N/A</v>
      </c>
      <c r="AA8" s="27"/>
      <c r="AB8" s="44" t="e">
        <f>VLOOKUP(Tabulka3811142632384450566268748086[[#This Row],[Tým]],Tabulka1710132531374349556167737985[[Tým]:[ ]],2,FALSE)</f>
        <v>#N/A</v>
      </c>
      <c r="AC8" s="44" t="e">
        <f>VLOOKUP(Tabulka3811142632384450566268748086[[#This Row],[Tým]],Tabulka1710132531374349556167737985[[Tým]:[ ]],3,FALSE)</f>
        <v>#N/A</v>
      </c>
      <c r="AD8" s="25" t="e">
        <f>VLOOKUP(Tabulka3811142632384450566268748086[[#This Row],[Tým]],Tabulka1710132531374349556167737985[[Tým]:[ ]],4,FALSE)</f>
        <v>#N/A</v>
      </c>
      <c r="AE8" s="25" t="e">
        <f>VLOOKUP(Tabulka3811142632384450566268748086[[#This Row],[Tým]],Tabulka1710132531374349556167737985[[Tým]:[ ]],7,FALSE)</f>
        <v>#N/A</v>
      </c>
      <c r="AF8" s="29" t="e">
        <f>IF(Tabulka3811142632384450566268748086[[#This Row],[Výsledný čas]]="N",5,IF(Tabulka3811142632384450566268748086[[#This Row],[Výsledný čas]]="D",0,IF(Tabulka3811142632384450566268748086[[#This Row],[Výsledný čas]]="NEÚČAST",0,Tabulka4[[#Totals],[Týmy muži]]+6-Tabulka3811142632384450566268748086[[#This Row],[Umístění]])))</f>
        <v>#N/A</v>
      </c>
      <c r="AH8" s="31" t="e">
        <f>_xlfn.RANK.EQ(Tabulka5912152733394551576369758187[[#This Row],[Body]],Tabulka5912152733394551576369758187[Body],0)</f>
        <v>#N/A</v>
      </c>
      <c r="AI8" s="27"/>
      <c r="AJ8" s="25" t="e">
        <f>VLOOKUP(Tabulka5912152733394551576369758187[[#This Row],[Tým]],Tabulka3811142632384450566268748086[[Tým]:[Body]],6,FALSE)+Tabulka5912152733394551576369758187[[#This Row],[ ]]</f>
        <v>#N/A</v>
      </c>
      <c r="AK8" s="47" t="e">
        <f>VLOOKUP(Tabulka5912152733394551576369758187[[#This Row],[Tým]],Tabulka59121527333945515763697581[[Tým]:[Body]],2,FALSE)</f>
        <v>#N/A</v>
      </c>
      <c r="AL8" s="47" t="e">
        <f>Tabulka5912152733394551576369758187[[#This Row],[Umístění]]</f>
        <v>#N/A</v>
      </c>
      <c r="AM8" s="15"/>
      <c r="AP8" s="1"/>
    </row>
    <row r="9" spans="1:42" ht="24.95" customHeight="1" x14ac:dyDescent="0.4">
      <c r="N9" s="31"/>
      <c r="O9" s="25" t="str">
        <f>IF(Tabulka17101363036424854606672788490[[#This Row],[ ]]="","",IF(Tabulka17101363036424854606672788490[[#This Row],[ ]]="NEÚČAST","",IF(OR(Tabulka17101363036424854606672788490[Výsledný čas]="N",Tabulka17101363036424854606672788490[Výsledný čas]="D"),$X$4-$X$5,_xlfn.RANK.EQ(Tabulka17101363036424854606672788490[[#This Row],[ ]],Tabulka17101363036424854606672788490[[ ]],1))))</f>
        <v/>
      </c>
      <c r="P9" s="26"/>
      <c r="Q9" s="5"/>
      <c r="R9" s="5"/>
      <c r="S9" s="25" t="str">
        <f>IF(OR(Tabulka17101363036424854606672788490[[#This Row],[LP]]="N",Tabulka17101363036424854606672788490[[#This Row],[PP]]="N"),"N",IF(OR(Tabulka17101363036424854606672788490[[#This Row],[LP]]="D",Tabulka17101363036424854606672788490[[#This Row],[PP]]="D"),"D",IF(OR(Tabulka17101363036424854606672788490[[#This Row],[LP]]="NEÚČAST",Tabulka17101363036424854606672788490[[#This Row],[PP]]="NEÚČAST"),"NEÚČAST",IF(OR(Tabulka17101363036424854606672788490[[#This Row],[LP]]="",Tabulka17101363036424854606672788490[[#This Row],[PP]]=""),"",MAX(Tabulka17101363036424854606672788490[[#This Row],[LP]:[PP]])))))</f>
        <v/>
      </c>
      <c r="T9" s="46">
        <f>COUNTIF(Tabulka17101363036424854606672788490[[#This Row],[Tým]],"*")</f>
        <v>0</v>
      </c>
      <c r="U9" s="46">
        <f>COUNTIF(Tabulka17101363036424854606672788490[[#This Row],[Výsledný čas]],"NEÚČAST")</f>
        <v>0</v>
      </c>
      <c r="V9" s="29" t="str">
        <f>IF(Tabulka17101363036424854606672788490[[#This Row],[Výsledný čas]]="N",998,IF(Tabulka17101363036424854606672788490[[#This Row],[Výsledný čas]]="D",998,IF(Tabulka17101363036424854606672788490[[#This Row],[Výsledný čas]]="","",Tabulka17101363036424854606672788490[[#This Row],[Výsledný čas]])))</f>
        <v/>
      </c>
      <c r="Y9" s="15"/>
      <c r="Z9" s="31" t="e">
        <f>IF(OR(Tabulka3811142632384450566268748086[Výsledný čas]="N",Tabulka3811142632384450566268748086[Výsledný čas]="D",Tabulka3811142632384450566268748086[Výsledný čas]="NEÚČAST"),Uvod!$E$4,_xlfn.RANK.EQ(Tabulka3811142632384450566268748086[[#This Row],[ ]],Tabulka3811142632384450566268748086[[ ]],1))</f>
        <v>#N/A</v>
      </c>
      <c r="AA9" s="27"/>
      <c r="AB9" s="44" t="e">
        <f>VLOOKUP(Tabulka3811142632384450566268748086[[#This Row],[Tým]],Tabulka1710132531374349556167737985[[Tým]:[ ]],2,FALSE)</f>
        <v>#N/A</v>
      </c>
      <c r="AC9" s="44" t="e">
        <f>VLOOKUP(Tabulka3811142632384450566268748086[[#This Row],[Tým]],Tabulka1710132531374349556167737985[[Tým]:[ ]],3,FALSE)</f>
        <v>#N/A</v>
      </c>
      <c r="AD9" s="25" t="e">
        <f>VLOOKUP(Tabulka3811142632384450566268748086[[#This Row],[Tým]],Tabulka1710132531374349556167737985[[Tým]:[ ]],4,FALSE)</f>
        <v>#N/A</v>
      </c>
      <c r="AE9" s="25" t="e">
        <f>VLOOKUP(Tabulka3811142632384450566268748086[[#This Row],[Tým]],Tabulka1710132531374349556167737985[[Tým]:[ ]],7,FALSE)</f>
        <v>#N/A</v>
      </c>
      <c r="AF9" s="29" t="e">
        <f>IF(Tabulka3811142632384450566268748086[[#This Row],[Výsledný čas]]="N",5,IF(Tabulka3811142632384450566268748086[[#This Row],[Výsledný čas]]="D",0,IF(Tabulka3811142632384450566268748086[[#This Row],[Výsledný čas]]="NEÚČAST",0,Tabulka4[[#Totals],[Týmy muži]]+6-Tabulka3811142632384450566268748086[[#This Row],[Umístění]])))</f>
        <v>#N/A</v>
      </c>
      <c r="AH9" s="31" t="e">
        <f>_xlfn.RANK.EQ(Tabulka5912152733394551576369758187[[#This Row],[Body]],Tabulka5912152733394551576369758187[Body],0)</f>
        <v>#N/A</v>
      </c>
      <c r="AI9" s="27"/>
      <c r="AJ9" s="25" t="e">
        <f>VLOOKUP(Tabulka5912152733394551576369758187[[#This Row],[Tým]],Tabulka3811142632384450566268748086[[Tým]:[Body]],6,FALSE)+Tabulka5912152733394551576369758187[[#This Row],[ ]]</f>
        <v>#N/A</v>
      </c>
      <c r="AK9" s="47" t="e">
        <f>VLOOKUP(Tabulka5912152733394551576369758187[[#This Row],[Tým]],Tabulka59121527333945515763697581[[Tým]:[Body]],2,FALSE)</f>
        <v>#N/A</v>
      </c>
      <c r="AL9" s="47" t="e">
        <f>Tabulka5912152733394551576369758187[[#This Row],[Umístění]]</f>
        <v>#N/A</v>
      </c>
      <c r="AM9" s="15"/>
      <c r="AP9" s="1"/>
    </row>
    <row r="10" spans="1:42" ht="24.95" customHeight="1" x14ac:dyDescent="0.4">
      <c r="N10" s="31"/>
      <c r="O10" s="25" t="str">
        <f>IF(Tabulka17101363036424854606672788490[[#This Row],[ ]]="","",IF(Tabulka17101363036424854606672788490[[#This Row],[ ]]="NEÚČAST","",IF(OR(Tabulka17101363036424854606672788490[Výsledný čas]="N",Tabulka17101363036424854606672788490[Výsledný čas]="D"),$X$4-$X$5,_xlfn.RANK.EQ(Tabulka17101363036424854606672788490[[#This Row],[ ]],Tabulka17101363036424854606672788490[[ ]],1))))</f>
        <v/>
      </c>
      <c r="P10" s="26"/>
      <c r="Q10" s="5"/>
      <c r="R10" s="5"/>
      <c r="S10" s="25" t="str">
        <f>IF(OR(Tabulka17101363036424854606672788490[[#This Row],[LP]]="N",Tabulka17101363036424854606672788490[[#This Row],[PP]]="N"),"N",IF(OR(Tabulka17101363036424854606672788490[[#This Row],[LP]]="D",Tabulka17101363036424854606672788490[[#This Row],[PP]]="D"),"D",IF(OR(Tabulka17101363036424854606672788490[[#This Row],[LP]]="NEÚČAST",Tabulka17101363036424854606672788490[[#This Row],[PP]]="NEÚČAST"),"NEÚČAST",IF(OR(Tabulka17101363036424854606672788490[[#This Row],[LP]]="",Tabulka17101363036424854606672788490[[#This Row],[PP]]=""),"",MAX(Tabulka17101363036424854606672788490[[#This Row],[LP]:[PP]])))))</f>
        <v/>
      </c>
      <c r="T10" s="46">
        <f>COUNTIF(Tabulka17101363036424854606672788490[[#This Row],[Tým]],"*")</f>
        <v>0</v>
      </c>
      <c r="U10" s="46">
        <f>COUNTIF(Tabulka17101363036424854606672788490[[#This Row],[Výsledný čas]],"NEÚČAST")</f>
        <v>0</v>
      </c>
      <c r="V10" s="29" t="str">
        <f>IF(Tabulka17101363036424854606672788490[[#This Row],[Výsledný čas]]="N",998,IF(Tabulka17101363036424854606672788490[[#This Row],[Výsledný čas]]="D",998,IF(Tabulka17101363036424854606672788490[[#This Row],[Výsledný čas]]="","",Tabulka17101363036424854606672788490[[#This Row],[Výsledný čas]])))</f>
        <v/>
      </c>
      <c r="Y10" s="15"/>
      <c r="Z10" s="31" t="e">
        <f>IF(OR(Tabulka3811142632384450566268748086[Výsledný čas]="N",Tabulka3811142632384450566268748086[Výsledný čas]="D",Tabulka3811142632384450566268748086[Výsledný čas]="NEÚČAST"),Uvod!$E$4,_xlfn.RANK.EQ(Tabulka3811142632384450566268748086[[#This Row],[ ]],Tabulka3811142632384450566268748086[[ ]],1))</f>
        <v>#N/A</v>
      </c>
      <c r="AA10" s="27"/>
      <c r="AB10" s="44" t="e">
        <f>VLOOKUP(Tabulka3811142632384450566268748086[[#This Row],[Tým]],Tabulka1710132531374349556167737985[[Tým]:[ ]],2,FALSE)</f>
        <v>#N/A</v>
      </c>
      <c r="AC10" s="44" t="e">
        <f>VLOOKUP(Tabulka3811142632384450566268748086[[#This Row],[Tým]],Tabulka1710132531374349556167737985[[Tým]:[ ]],3,FALSE)</f>
        <v>#N/A</v>
      </c>
      <c r="AD10" s="25" t="e">
        <f>VLOOKUP(Tabulka3811142632384450566268748086[[#This Row],[Tým]],Tabulka1710132531374349556167737985[[Tým]:[ ]],4,FALSE)</f>
        <v>#N/A</v>
      </c>
      <c r="AE10" s="25" t="e">
        <f>VLOOKUP(Tabulka3811142632384450566268748086[[#This Row],[Tým]],Tabulka1710132531374349556167737985[[Tým]:[ ]],7,FALSE)</f>
        <v>#N/A</v>
      </c>
      <c r="AF10" s="29" t="e">
        <f>IF(Tabulka3811142632384450566268748086[[#This Row],[Výsledný čas]]="N",5,IF(Tabulka3811142632384450566268748086[[#This Row],[Výsledný čas]]="D",0,IF(Tabulka3811142632384450566268748086[[#This Row],[Výsledný čas]]="NEÚČAST",0,Tabulka4[[#Totals],[Týmy muži]]+6-Tabulka3811142632384450566268748086[[#This Row],[Umístění]])))</f>
        <v>#N/A</v>
      </c>
      <c r="AH10" s="31" t="e">
        <f>_xlfn.RANK.EQ(Tabulka5912152733394551576369758187[[#This Row],[Body]],Tabulka5912152733394551576369758187[Body],0)</f>
        <v>#N/A</v>
      </c>
      <c r="AI10" s="27"/>
      <c r="AJ10" s="25" t="e">
        <f>VLOOKUP(Tabulka5912152733394551576369758187[[#This Row],[Tým]],Tabulka3811142632384450566268748086[[Tým]:[Body]],6,FALSE)+Tabulka5912152733394551576369758187[[#This Row],[ ]]</f>
        <v>#N/A</v>
      </c>
      <c r="AK10" s="47" t="e">
        <f>VLOOKUP(Tabulka5912152733394551576369758187[[#This Row],[Tým]],Tabulka59121527333945515763697581[[Tým]:[Body]],2,FALSE)</f>
        <v>#N/A</v>
      </c>
      <c r="AL10" s="47" t="e">
        <f>Tabulka5912152733394551576369758187[[#This Row],[Umístění]]</f>
        <v>#N/A</v>
      </c>
      <c r="AM10" s="15"/>
      <c r="AP10" s="1"/>
    </row>
    <row r="11" spans="1:42" ht="24.95" customHeight="1" thickBot="1" x14ac:dyDescent="0.45">
      <c r="N11" s="33"/>
      <c r="O11" s="34" t="str">
        <f>IF(Tabulka17101363036424854606672788490[[#This Row],[ ]]="","",IF(Tabulka17101363036424854606672788490[[#This Row],[ ]]="NEÚČAST","",IF(OR(Tabulka17101363036424854606672788490[Výsledný čas]="N",Tabulka17101363036424854606672788490[Výsledný čas]="D"),$X$4-$X$5,_xlfn.RANK.EQ(Tabulka17101363036424854606672788490[[#This Row],[ ]],Tabulka17101363036424854606672788490[[ ]],1))))</f>
        <v/>
      </c>
      <c r="P11" s="35"/>
      <c r="Q11" s="34"/>
      <c r="R11" s="34"/>
      <c r="S11" s="36" t="str">
        <f>IF(OR(Tabulka17101363036424854606672788490[[#This Row],[LP]]="N",Tabulka17101363036424854606672788490[[#This Row],[PP]]="N"),"N",IF(OR(Tabulka17101363036424854606672788490[[#This Row],[LP]]="D",Tabulka17101363036424854606672788490[[#This Row],[PP]]="D"),"D",IF(OR(Tabulka17101363036424854606672788490[[#This Row],[LP]]="NEÚČAST",Tabulka17101363036424854606672788490[[#This Row],[PP]]="NEÚČAST"),"NEÚČAST",IF(OR(Tabulka17101363036424854606672788490[[#This Row],[LP]]="",Tabulka17101363036424854606672788490[[#This Row],[PP]]=""),"",MAX(Tabulka17101363036424854606672788490[[#This Row],[LP]:[PP]])))))</f>
        <v/>
      </c>
      <c r="T11" s="37">
        <f>COUNTIF(Tabulka17101363036424854606672788490[[#This Row],[Tým]],"*")</f>
        <v>0</v>
      </c>
      <c r="U11" s="37">
        <f>COUNTIF(Tabulka17101363036424854606672788490[[#This Row],[Výsledný čas]],"NEÚČAST")</f>
        <v>0</v>
      </c>
      <c r="V11" s="37" t="str">
        <f>IF(Tabulka17101363036424854606672788490[[#This Row],[Výsledný čas]]="N",998,IF(Tabulka17101363036424854606672788490[[#This Row],[Výsledný čas]]="D",998,IF(Tabulka17101363036424854606672788490[[#This Row],[Výsledný čas]]="","",Tabulka17101363036424854606672788490[[#This Row],[Výsledný čas]])))</f>
        <v/>
      </c>
      <c r="Y11" s="15"/>
      <c r="Z11" s="31" t="e">
        <f>IF(OR(Tabulka3811142632384450566268748086[Výsledný čas]="N",Tabulka3811142632384450566268748086[Výsledný čas]="D",Tabulka3811142632384450566268748086[Výsledný čas]="NEÚČAST"),Uvod!$E$4,_xlfn.RANK.EQ(Tabulka3811142632384450566268748086[[#This Row],[ ]],Tabulka3811142632384450566268748086[[ ]],1))</f>
        <v>#N/A</v>
      </c>
      <c r="AA11" s="27"/>
      <c r="AB11" s="44" t="e">
        <f>VLOOKUP(Tabulka3811142632384450566268748086[[#This Row],[Tým]],Tabulka1710132531374349556167737985[[Tým]:[ ]],2,FALSE)</f>
        <v>#N/A</v>
      </c>
      <c r="AC11" s="44" t="e">
        <f>VLOOKUP(Tabulka3811142632384450566268748086[[#This Row],[Tým]],Tabulka1710132531374349556167737985[[Tým]:[ ]],3,FALSE)</f>
        <v>#N/A</v>
      </c>
      <c r="AD11" s="25" t="e">
        <f>VLOOKUP(Tabulka3811142632384450566268748086[[#This Row],[Tým]],Tabulka1710132531374349556167737985[[Tým]:[ ]],4,FALSE)</f>
        <v>#N/A</v>
      </c>
      <c r="AE11" s="25" t="e">
        <f>VLOOKUP(Tabulka3811142632384450566268748086[[#This Row],[Tým]],Tabulka1710132531374349556167737985[[Tým]:[ ]],7,FALSE)</f>
        <v>#N/A</v>
      </c>
      <c r="AF11" s="29" t="e">
        <f>IF(Tabulka3811142632384450566268748086[[#This Row],[Výsledný čas]]="N",5,IF(Tabulka3811142632384450566268748086[[#This Row],[Výsledný čas]]="D",0,IF(Tabulka3811142632384450566268748086[[#This Row],[Výsledný čas]]="NEÚČAST",0,Tabulka4[[#Totals],[Týmy muži]]+6-Tabulka3811142632384450566268748086[[#This Row],[Umístění]])))</f>
        <v>#N/A</v>
      </c>
      <c r="AH11" s="31" t="e">
        <f>_xlfn.RANK.EQ(Tabulka5912152733394551576369758187[[#This Row],[Body]],Tabulka5912152733394551576369758187[Body],0)</f>
        <v>#N/A</v>
      </c>
      <c r="AI11" s="27"/>
      <c r="AJ11" s="25" t="e">
        <f>VLOOKUP(Tabulka5912152733394551576369758187[[#This Row],[Tým]],Tabulka3811142632384450566268748086[[Tým]:[Body]],6,FALSE)+Tabulka5912152733394551576369758187[[#This Row],[ ]]</f>
        <v>#N/A</v>
      </c>
      <c r="AK11" s="47" t="e">
        <f>VLOOKUP(Tabulka5912152733394551576369758187[[#This Row],[Tým]],Tabulka59121527333945515763697581[[Tým]:[Body]],2,FALSE)</f>
        <v>#N/A</v>
      </c>
      <c r="AL11" s="47" t="e">
        <f>Tabulka5912152733394551576369758187[[#This Row],[Umístění]]</f>
        <v>#N/A</v>
      </c>
      <c r="AM11" s="15"/>
      <c r="AP11" s="1"/>
    </row>
    <row r="12" spans="1:42" ht="24.95" customHeight="1" x14ac:dyDescent="0.4">
      <c r="S12" s="65"/>
      <c r="Y12" s="9"/>
      <c r="Z12" s="31" t="e">
        <f>IF(OR(Tabulka3811142632384450566268748086[Výsledný čas]="N",Tabulka3811142632384450566268748086[Výsledný čas]="D",Tabulka3811142632384450566268748086[Výsledný čas]="NEÚČAST"),Uvod!$E$4,_xlfn.RANK.EQ(Tabulka3811142632384450566268748086[[#This Row],[ ]],Tabulka3811142632384450566268748086[[ ]],1))</f>
        <v>#N/A</v>
      </c>
      <c r="AA12" s="27"/>
      <c r="AB12" s="44" t="e">
        <f>VLOOKUP(Tabulka3811142632384450566268748086[[#This Row],[Tým]],Tabulka1710132531374349556167737985[[Tým]:[ ]],2,FALSE)</f>
        <v>#N/A</v>
      </c>
      <c r="AC12" s="44" t="e">
        <f>VLOOKUP(Tabulka3811142632384450566268748086[[#This Row],[Tým]],Tabulka1710132531374349556167737985[[Tým]:[ ]],3,FALSE)</f>
        <v>#N/A</v>
      </c>
      <c r="AD12" s="25" t="e">
        <f>VLOOKUP(Tabulka3811142632384450566268748086[[#This Row],[Tým]],Tabulka1710132531374349556167737985[[Tým]:[ ]],4,FALSE)</f>
        <v>#N/A</v>
      </c>
      <c r="AE12" s="25" t="e">
        <f>VLOOKUP(Tabulka3811142632384450566268748086[[#This Row],[Tým]],Tabulka1710132531374349556167737985[[Tým]:[ ]],7,FALSE)</f>
        <v>#N/A</v>
      </c>
      <c r="AF12" s="29" t="e">
        <f>IF(Tabulka3811142632384450566268748086[[#This Row],[Výsledný čas]]="N",5,IF(Tabulka3811142632384450566268748086[[#This Row],[Výsledný čas]]="D",0,IF(Tabulka3811142632384450566268748086[[#This Row],[Výsledný čas]]="NEÚČAST",0,Tabulka4[[#Totals],[Týmy muži]]+6-Tabulka3811142632384450566268748086[[#This Row],[Umístění]])))</f>
        <v>#N/A</v>
      </c>
      <c r="AH12" s="31" t="e">
        <f>_xlfn.RANK.EQ(Tabulka5912152733394551576369758187[[#This Row],[Body]],Tabulka5912152733394551576369758187[Body],0)</f>
        <v>#N/A</v>
      </c>
      <c r="AI12" s="27"/>
      <c r="AJ12" s="25" t="e">
        <f>VLOOKUP(Tabulka5912152733394551576369758187[[#This Row],[Tým]],Tabulka3811142632384450566268748086[[Tým]:[Body]],6,FALSE)+Tabulka5912152733394551576369758187[[#This Row],[ ]]</f>
        <v>#N/A</v>
      </c>
      <c r="AK12" s="47" t="e">
        <f>VLOOKUP(Tabulka5912152733394551576369758187[[#This Row],[Tým]],Tabulka59121527333945515763697581[[Tým]:[Body]],2,FALSE)</f>
        <v>#N/A</v>
      </c>
      <c r="AL12" s="47" t="e">
        <f>Tabulka5912152733394551576369758187[[#This Row],[Umístění]]</f>
        <v>#N/A</v>
      </c>
      <c r="AM12" s="15"/>
      <c r="AP12" s="1"/>
    </row>
    <row r="13" spans="1:42" ht="24.95" customHeight="1" x14ac:dyDescent="0.4">
      <c r="Z13" s="63" t="e">
        <f>IF(OR(Tabulka3811142632384450566268748086[Výsledný čas]="N",Tabulka3811142632384450566268748086[Výsledný čas]="D",Tabulka3811142632384450566268748086[Výsledný čas]="NEÚČAST"),Uvod!$E$4,_xlfn.RANK.EQ(Tabulka3811142632384450566268748086[[#This Row],[ ]],Tabulka3811142632384450566268748086[[ ]],1))</f>
        <v>#N/A</v>
      </c>
      <c r="AA13" s="27"/>
      <c r="AB13" s="44" t="e">
        <f>VLOOKUP(Tabulka3811142632384450566268748086[[#This Row],[Tým]],Tabulka1710132531374349556167737985[[Tým]:[ ]],2,FALSE)</f>
        <v>#N/A</v>
      </c>
      <c r="AC13" s="44" t="e">
        <f>VLOOKUP(Tabulka3811142632384450566268748086[[#This Row],[Tým]],Tabulka1710132531374349556167737985[[Tým]:[ ]],3,FALSE)</f>
        <v>#N/A</v>
      </c>
      <c r="AD13" s="25" t="e">
        <f>VLOOKUP(Tabulka3811142632384450566268748086[[#This Row],[Tým]],Tabulka1710132531374349556167737985[[Tým]:[ ]],4,FALSE)</f>
        <v>#N/A</v>
      </c>
      <c r="AE13" s="25" t="e">
        <f>VLOOKUP(Tabulka3811142632384450566268748086[[#This Row],[Tým]],Tabulka1710132531374349556167737985[[Tým]:[ ]],7,FALSE)</f>
        <v>#N/A</v>
      </c>
      <c r="AF13" s="29" t="e">
        <f>IF(Tabulka3811142632384450566268748086[[#This Row],[Výsledný čas]]="N",5,IF(Tabulka3811142632384450566268748086[[#This Row],[Výsledný čas]]="D",0,IF(Tabulka3811142632384450566268748086[[#This Row],[Výsledný čas]]="NEÚČAST",0,Tabulka4[[#Totals],[Týmy muži]]+6-Tabulka3811142632384450566268748086[[#This Row],[Umístění]])))</f>
        <v>#N/A</v>
      </c>
      <c r="AH13" s="31" t="e">
        <f>_xlfn.RANK.EQ(Tabulka5912152733394551576369758187[[#This Row],[Body]],Tabulka5912152733394551576369758187[Body],0)</f>
        <v>#N/A</v>
      </c>
      <c r="AI13" s="27"/>
      <c r="AJ13" s="25" t="e">
        <f>VLOOKUP(Tabulka5912152733394551576369758187[[#This Row],[Tým]],Tabulka3811142632384450566268748086[[Tým]:[Body]],6,FALSE)+Tabulka5912152733394551576369758187[[#This Row],[ ]]</f>
        <v>#N/A</v>
      </c>
      <c r="AK13" s="47" t="e">
        <f>VLOOKUP(Tabulka5912152733394551576369758187[[#This Row],[Tým]],Tabulka59121527333945515763697581[[Tým]:[Body]],2,FALSE)</f>
        <v>#N/A</v>
      </c>
      <c r="AL13" s="47" t="e">
        <f>Tabulka5912152733394551576369758187[[#This Row],[Umístění]]</f>
        <v>#N/A</v>
      </c>
      <c r="AM13" s="15"/>
      <c r="AP13" s="1"/>
    </row>
    <row r="14" spans="1:42" ht="24.95" customHeight="1" x14ac:dyDescent="0.4">
      <c r="Z14" s="63" t="e">
        <f>IF(OR(Tabulka3811142632384450566268748086[Výsledný čas]="N",Tabulka3811142632384450566268748086[Výsledný čas]="D",Tabulka3811142632384450566268748086[Výsledný čas]="NEÚČAST"),Uvod!$E$4,_xlfn.RANK.EQ(Tabulka3811142632384450566268748086[[#This Row],[ ]],Tabulka3811142632384450566268748086[[ ]],1))</f>
        <v>#N/A</v>
      </c>
      <c r="AA14" s="27"/>
      <c r="AB14" s="44" t="e">
        <f>VLOOKUP(Tabulka3811142632384450566268748086[[#This Row],[Tým]],Tabulka1710132531374349556167737985[[Tým]:[ ]],2,FALSE)</f>
        <v>#N/A</v>
      </c>
      <c r="AC14" s="44" t="e">
        <f>VLOOKUP(Tabulka3811142632384450566268748086[[#This Row],[Tým]],Tabulka1710132531374349556167737985[[Tým]:[ ]],3,FALSE)</f>
        <v>#N/A</v>
      </c>
      <c r="AD14" s="25" t="e">
        <f>VLOOKUP(Tabulka3811142632384450566268748086[[#This Row],[Tým]],Tabulka1710132531374349556167737985[[Tým]:[ ]],4,FALSE)</f>
        <v>#N/A</v>
      </c>
      <c r="AE14" s="25" t="e">
        <f>VLOOKUP(Tabulka3811142632384450566268748086[[#This Row],[Tým]],Tabulka1710132531374349556167737985[[Tým]:[ ]],7,FALSE)</f>
        <v>#N/A</v>
      </c>
      <c r="AF14" s="29" t="e">
        <f>IF(Tabulka3811142632384450566268748086[[#This Row],[Výsledný čas]]="N",5,IF(Tabulka3811142632384450566268748086[[#This Row],[Výsledný čas]]="D",0,IF(Tabulka3811142632384450566268748086[[#This Row],[Výsledný čas]]="NEÚČAST",0,Tabulka4[[#Totals],[Týmy muži]]+6-Tabulka3811142632384450566268748086[[#This Row],[Umístění]])))</f>
        <v>#N/A</v>
      </c>
      <c r="AH14" s="31" t="e">
        <f>_xlfn.RANK.EQ(Tabulka5912152733394551576369758187[[#This Row],[Body]],Tabulka5912152733394551576369758187[Body],0)</f>
        <v>#N/A</v>
      </c>
      <c r="AI14" s="27"/>
      <c r="AJ14" s="25" t="e">
        <f>VLOOKUP(Tabulka5912152733394551576369758187[[#This Row],[Tým]],Tabulka3811142632384450566268748086[[Tým]:[Body]],6,FALSE)+Tabulka5912152733394551576369758187[[#This Row],[ ]]</f>
        <v>#N/A</v>
      </c>
      <c r="AK14" s="47" t="e">
        <f>VLOOKUP(Tabulka5912152733394551576369758187[[#This Row],[Tým]],Tabulka59121527333945515763697581[[Tým]:[Body]],2,FALSE)</f>
        <v>#N/A</v>
      </c>
      <c r="AL14" s="47" t="e">
        <f>Tabulka5912152733394551576369758187[[#This Row],[Umístění]]</f>
        <v>#N/A</v>
      </c>
      <c r="AM14" s="15"/>
      <c r="AP14" s="1"/>
    </row>
    <row r="15" spans="1:42" ht="24.95" customHeight="1" x14ac:dyDescent="0.4">
      <c r="Z15" s="63" t="e">
        <f>IF(OR(Tabulka3811142632384450566268748086[Výsledný čas]="N",Tabulka3811142632384450566268748086[Výsledný čas]="D",Tabulka3811142632384450566268748086[Výsledný čas]="NEÚČAST"),Uvod!$E$4,_xlfn.RANK.EQ(Tabulka3811142632384450566268748086[[#This Row],[ ]],Tabulka3811142632384450566268748086[[ ]],1))</f>
        <v>#N/A</v>
      </c>
      <c r="AA15" s="27"/>
      <c r="AB15" s="44" t="e">
        <f>VLOOKUP(Tabulka3811142632384450566268748086[[#This Row],[Tým]],Tabulka1710132531374349556167737985[[Tým]:[ ]],2,FALSE)</f>
        <v>#N/A</v>
      </c>
      <c r="AC15" s="44" t="e">
        <f>VLOOKUP(Tabulka3811142632384450566268748086[[#This Row],[Tým]],Tabulka1710132531374349556167737985[[Tým]:[ ]],3,FALSE)</f>
        <v>#N/A</v>
      </c>
      <c r="AD15" s="25" t="e">
        <f>VLOOKUP(Tabulka3811142632384450566268748086[[#This Row],[Tým]],Tabulka1710132531374349556167737985[[Tým]:[ ]],4,FALSE)</f>
        <v>#N/A</v>
      </c>
      <c r="AE15" s="25" t="e">
        <f>VLOOKUP(Tabulka3811142632384450566268748086[[#This Row],[Tým]],Tabulka1710132531374349556167737985[[Tým]:[ ]],7,FALSE)</f>
        <v>#N/A</v>
      </c>
      <c r="AF15" s="29" t="e">
        <f>IF(Tabulka3811142632384450566268748086[[#This Row],[Výsledný čas]]="N",5,IF(Tabulka3811142632384450566268748086[[#This Row],[Výsledný čas]]="D",0,IF(Tabulka3811142632384450566268748086[[#This Row],[Výsledný čas]]="NEÚČAST",0,Tabulka4[[#Totals],[Týmy muži]]+6-Tabulka3811142632384450566268748086[[#This Row],[Umístění]])))</f>
        <v>#N/A</v>
      </c>
      <c r="AH15" s="31" t="e">
        <f>_xlfn.RANK.EQ(Tabulka5912152733394551576369758187[[#This Row],[Body]],Tabulka5912152733394551576369758187[Body],0)</f>
        <v>#N/A</v>
      </c>
      <c r="AI15" s="27"/>
      <c r="AJ15" s="25" t="e">
        <f>VLOOKUP(Tabulka5912152733394551576369758187[[#This Row],[Tým]],Tabulka3811142632384450566268748086[[Tým]:[Body]],6,FALSE)+Tabulka5912152733394551576369758187[[#This Row],[ ]]</f>
        <v>#N/A</v>
      </c>
      <c r="AK15" s="47" t="e">
        <f>VLOOKUP(Tabulka5912152733394551576369758187[[#This Row],[Tým]],Tabulka59121527333945515763697581[[Tým]:[Body]],2,FALSE)</f>
        <v>#N/A</v>
      </c>
      <c r="AL15" s="47" t="e">
        <f>Tabulka5912152733394551576369758187[[#This Row],[Umístění]]</f>
        <v>#N/A</v>
      </c>
      <c r="AM15" s="15"/>
      <c r="AP15" s="1"/>
    </row>
    <row r="16" spans="1:42" ht="24.95" customHeight="1" x14ac:dyDescent="0.4">
      <c r="Z16" s="63" t="e">
        <f>IF(OR(Tabulka3811142632384450566268748086[Výsledný čas]="N",Tabulka3811142632384450566268748086[Výsledný čas]="D",Tabulka3811142632384450566268748086[Výsledný čas]="NEÚČAST"),Uvod!$E$4,_xlfn.RANK.EQ(Tabulka3811142632384450566268748086[[#This Row],[ ]],Tabulka3811142632384450566268748086[[ ]],1))</f>
        <v>#N/A</v>
      </c>
      <c r="AA16" s="27"/>
      <c r="AB16" s="44" t="e">
        <f>VLOOKUP(Tabulka3811142632384450566268748086[[#This Row],[Tým]],Tabulka1710132531374349556167737985[[Tým]:[ ]],2,FALSE)</f>
        <v>#N/A</v>
      </c>
      <c r="AC16" s="44" t="e">
        <f>VLOOKUP(Tabulka3811142632384450566268748086[[#This Row],[Tým]],Tabulka1710132531374349556167737985[[Tým]:[ ]],3,FALSE)</f>
        <v>#N/A</v>
      </c>
      <c r="AD16" s="25" t="e">
        <f>VLOOKUP(Tabulka3811142632384450566268748086[[#This Row],[Tým]],Tabulka1710132531374349556167737985[[Tým]:[ ]],4,FALSE)</f>
        <v>#N/A</v>
      </c>
      <c r="AE16" s="25" t="e">
        <f>VLOOKUP(Tabulka3811142632384450566268748086[[#This Row],[Tým]],Tabulka1710132531374349556167737985[[Tým]:[ ]],7,FALSE)</f>
        <v>#N/A</v>
      </c>
      <c r="AF16" s="29" t="e">
        <f>IF(Tabulka3811142632384450566268748086[[#This Row],[Výsledný čas]]="N",5,IF(Tabulka3811142632384450566268748086[[#This Row],[Výsledný čas]]="D",0,IF(Tabulka3811142632384450566268748086[[#This Row],[Výsledný čas]]="NEÚČAST",0,Tabulka4[[#Totals],[Týmy muži]]+6-Tabulka3811142632384450566268748086[[#This Row],[Umístění]])))</f>
        <v>#N/A</v>
      </c>
      <c r="AH16" s="31" t="e">
        <f>_xlfn.RANK.EQ(Tabulka5912152733394551576369758187[[#This Row],[Body]],Tabulka5912152733394551576369758187[Body],0)</f>
        <v>#N/A</v>
      </c>
      <c r="AI16" s="27"/>
      <c r="AJ16" s="25" t="e">
        <f>VLOOKUP(Tabulka5912152733394551576369758187[[#This Row],[Tým]],Tabulka3811142632384450566268748086[[Tým]:[Body]],6,FALSE)+Tabulka5912152733394551576369758187[[#This Row],[ ]]</f>
        <v>#N/A</v>
      </c>
      <c r="AK16" s="47" t="e">
        <f>VLOOKUP(Tabulka5912152733394551576369758187[[#This Row],[Tým]],Tabulka59121527333945515763697581[[Tým]:[Body]],2,FALSE)</f>
        <v>#N/A</v>
      </c>
      <c r="AL16" s="47" t="e">
        <f>Tabulka5912152733394551576369758187[[#This Row],[Umístění]]</f>
        <v>#N/A</v>
      </c>
      <c r="AM16" s="15"/>
      <c r="AP16" s="1"/>
    </row>
    <row r="17" spans="26:42" ht="24.95" customHeight="1" x14ac:dyDescent="0.4">
      <c r="Z17" s="63" t="e">
        <f>IF(OR(Tabulka3811142632384450566268748086[Výsledný čas]="N",Tabulka3811142632384450566268748086[Výsledný čas]="D",Tabulka3811142632384450566268748086[Výsledný čas]="NEÚČAST"),Uvod!$E$4,_xlfn.RANK.EQ(Tabulka3811142632384450566268748086[[#This Row],[ ]],Tabulka3811142632384450566268748086[[ ]],1))</f>
        <v>#N/A</v>
      </c>
      <c r="AA17" s="27"/>
      <c r="AB17" s="44" t="e">
        <f>VLOOKUP(Tabulka3811142632384450566268748086[[#This Row],[Tým]],Tabulka1710132531374349556167737985[[Tým]:[ ]],2,FALSE)</f>
        <v>#N/A</v>
      </c>
      <c r="AC17" s="44" t="e">
        <f>VLOOKUP(Tabulka3811142632384450566268748086[[#This Row],[Tým]],Tabulka1710132531374349556167737985[[Tým]:[ ]],3,FALSE)</f>
        <v>#N/A</v>
      </c>
      <c r="AD17" s="25" t="e">
        <f>VLOOKUP(Tabulka3811142632384450566268748086[[#This Row],[Tým]],Tabulka1710132531374349556167737985[[Tým]:[ ]],4,FALSE)</f>
        <v>#N/A</v>
      </c>
      <c r="AE17" s="25" t="e">
        <f>VLOOKUP(Tabulka3811142632384450566268748086[[#This Row],[Tým]],Tabulka1710132531374349556167737985[[Tým]:[ ]],7,FALSE)</f>
        <v>#N/A</v>
      </c>
      <c r="AF17" s="29" t="e">
        <f>IF(Tabulka3811142632384450566268748086[[#This Row],[Výsledný čas]]="N",5,IF(Tabulka3811142632384450566268748086[[#This Row],[Výsledný čas]]="D",0,IF(Tabulka3811142632384450566268748086[[#This Row],[Výsledný čas]]="NEÚČAST",0,Tabulka4[[#Totals],[Týmy muži]]+6-Tabulka3811142632384450566268748086[[#This Row],[Umístění]])))</f>
        <v>#N/A</v>
      </c>
      <c r="AH17" s="31" t="e">
        <f>_xlfn.RANK.EQ(Tabulka5912152733394551576369758187[[#This Row],[Body]],Tabulka5912152733394551576369758187[Body],0)</f>
        <v>#N/A</v>
      </c>
      <c r="AI17" s="27"/>
      <c r="AJ17" s="25" t="e">
        <f>VLOOKUP(Tabulka5912152733394551576369758187[[#This Row],[Tým]],Tabulka3811142632384450566268748086[[Tým]:[Body]],6,FALSE)+Tabulka5912152733394551576369758187[[#This Row],[ ]]</f>
        <v>#N/A</v>
      </c>
      <c r="AK17" s="47" t="e">
        <f>VLOOKUP(Tabulka5912152733394551576369758187[[#This Row],[Tým]],Tabulka59121527333945515763697581[[Tým]:[Body]],2,FALSE)</f>
        <v>#N/A</v>
      </c>
      <c r="AL17" s="47" t="e">
        <f>Tabulka5912152733394551576369758187[[#This Row],[Umístění]]</f>
        <v>#N/A</v>
      </c>
      <c r="AM17" s="15"/>
      <c r="AP17" s="1"/>
    </row>
    <row r="18" spans="26:42" ht="24.95" customHeight="1" x14ac:dyDescent="0.4">
      <c r="Z18" s="63" t="e">
        <f>IF(OR(Tabulka3811142632384450566268748086[Výsledný čas]="N",Tabulka3811142632384450566268748086[Výsledný čas]="D",Tabulka3811142632384450566268748086[Výsledný čas]="NEÚČAST"),Uvod!$E$4,_xlfn.RANK.EQ(Tabulka3811142632384450566268748086[[#This Row],[ ]],Tabulka3811142632384450566268748086[[ ]],1))</f>
        <v>#N/A</v>
      </c>
      <c r="AA18" s="27"/>
      <c r="AB18" s="44" t="e">
        <f>VLOOKUP(Tabulka3811142632384450566268748086[[#This Row],[Tým]],Tabulka1710132531374349556167737985[[Tým]:[ ]],2,FALSE)</f>
        <v>#N/A</v>
      </c>
      <c r="AC18" s="44" t="e">
        <f>VLOOKUP(Tabulka3811142632384450566268748086[[#This Row],[Tým]],Tabulka1710132531374349556167737985[[Tým]:[ ]],3,FALSE)</f>
        <v>#N/A</v>
      </c>
      <c r="AD18" s="25" t="e">
        <f>VLOOKUP(Tabulka3811142632384450566268748086[[#This Row],[Tým]],Tabulka1710132531374349556167737985[[Tým]:[ ]],4,FALSE)</f>
        <v>#N/A</v>
      </c>
      <c r="AE18" s="25" t="e">
        <f>VLOOKUP(Tabulka3811142632384450566268748086[[#This Row],[Tým]],Tabulka1710132531374349556167737985[[Tým]:[ ]],7,FALSE)</f>
        <v>#N/A</v>
      </c>
      <c r="AF18" s="29" t="e">
        <f>IF(Tabulka3811142632384450566268748086[[#This Row],[Výsledný čas]]="N",5,IF(Tabulka3811142632384450566268748086[[#This Row],[Výsledný čas]]="D",0,IF(Tabulka3811142632384450566268748086[[#This Row],[Výsledný čas]]="NEÚČAST",0,Tabulka4[[#Totals],[Týmy muži]]+6-Tabulka3811142632384450566268748086[[#This Row],[Umístění]])))</f>
        <v>#N/A</v>
      </c>
      <c r="AH18" s="31" t="e">
        <f>_xlfn.RANK.EQ(Tabulka5912152733394551576369758187[[#This Row],[Body]],Tabulka5912152733394551576369758187[Body],0)</f>
        <v>#N/A</v>
      </c>
      <c r="AI18" s="27"/>
      <c r="AJ18" s="25" t="e">
        <f>VLOOKUP(Tabulka5912152733394551576369758187[[#This Row],[Tým]],Tabulka3811142632384450566268748086[[Tým]:[Body]],6,FALSE)+Tabulka5912152733394551576369758187[[#This Row],[ ]]</f>
        <v>#N/A</v>
      </c>
      <c r="AK18" s="47" t="e">
        <f>VLOOKUP(Tabulka5912152733394551576369758187[[#This Row],[Tým]],Tabulka59121527333945515763697581[[Tým]:[Body]],2,FALSE)</f>
        <v>#N/A</v>
      </c>
      <c r="AL18" s="47" t="e">
        <f>Tabulka5912152733394551576369758187[[#This Row],[Umístění]]</f>
        <v>#N/A</v>
      </c>
      <c r="AM18" s="15"/>
      <c r="AP18" s="1"/>
    </row>
    <row r="19" spans="26:42" ht="24.95" customHeight="1" x14ac:dyDescent="0.4">
      <c r="Z19" s="63" t="e">
        <f>IF(OR(Tabulka3811142632384450566268748086[Výsledný čas]="N",Tabulka3811142632384450566268748086[Výsledný čas]="D",Tabulka3811142632384450566268748086[Výsledný čas]="NEÚČAST"),Uvod!$E$4,_xlfn.RANK.EQ(Tabulka3811142632384450566268748086[[#This Row],[ ]],Tabulka3811142632384450566268748086[[ ]],1))</f>
        <v>#N/A</v>
      </c>
      <c r="AA19" s="27"/>
      <c r="AB19" s="44" t="e">
        <f>VLOOKUP(Tabulka3811142632384450566268748086[[#This Row],[Tým]],Tabulka1710132531374349556167737985[[Tým]:[ ]],2,FALSE)</f>
        <v>#N/A</v>
      </c>
      <c r="AC19" s="44" t="e">
        <f>VLOOKUP(Tabulka3811142632384450566268748086[[#This Row],[Tým]],Tabulka1710132531374349556167737985[[Tým]:[ ]],3,FALSE)</f>
        <v>#N/A</v>
      </c>
      <c r="AD19" s="25" t="e">
        <f>VLOOKUP(Tabulka3811142632384450566268748086[[#This Row],[Tým]],Tabulka1710132531374349556167737985[[Tým]:[ ]],4,FALSE)</f>
        <v>#N/A</v>
      </c>
      <c r="AE19" s="25" t="e">
        <f>VLOOKUP(Tabulka3811142632384450566268748086[[#This Row],[Tým]],Tabulka1710132531374349556167737985[[Tým]:[ ]],7,FALSE)</f>
        <v>#N/A</v>
      </c>
      <c r="AF19" s="29" t="e">
        <f>IF(Tabulka3811142632384450566268748086[[#This Row],[Výsledný čas]]="N",5,IF(Tabulka3811142632384450566268748086[[#This Row],[Výsledný čas]]="D",0,IF(Tabulka3811142632384450566268748086[[#This Row],[Výsledný čas]]="NEÚČAST",0,Tabulka4[[#Totals],[Týmy muži]]+6-Tabulka3811142632384450566268748086[[#This Row],[Umístění]])))</f>
        <v>#N/A</v>
      </c>
      <c r="AH19" s="31" t="e">
        <f>_xlfn.RANK.EQ(Tabulka5912152733394551576369758187[[#This Row],[Body]],Tabulka5912152733394551576369758187[Body],0)</f>
        <v>#N/A</v>
      </c>
      <c r="AI19" s="27"/>
      <c r="AJ19" s="25" t="e">
        <f>VLOOKUP(Tabulka5912152733394551576369758187[[#This Row],[Tým]],Tabulka3811142632384450566268748086[[Tým]:[Body]],6,FALSE)+Tabulka5912152733394551576369758187[[#This Row],[ ]]</f>
        <v>#N/A</v>
      </c>
      <c r="AK19" s="47" t="e">
        <f>VLOOKUP(Tabulka5912152733394551576369758187[[#This Row],[Tým]],Tabulka59121527333945515763697581[[Tým]:[Body]],2,FALSE)</f>
        <v>#N/A</v>
      </c>
      <c r="AL19" s="47" t="e">
        <f>Tabulka5912152733394551576369758187[[#This Row],[Umístění]]</f>
        <v>#N/A</v>
      </c>
      <c r="AM19" s="15"/>
      <c r="AP19" s="1"/>
    </row>
    <row r="20" spans="26:42" ht="24.95" customHeight="1" thickBot="1" x14ac:dyDescent="0.45">
      <c r="Z20" s="64" t="e">
        <f>IF(OR(Tabulka3811142632384450566268748086[Výsledný čas]="N",Tabulka3811142632384450566268748086[Výsledný čas]="D",Tabulka3811142632384450566268748086[Výsledný čas]="NEÚČAST"),Uvod!$E$4,_xlfn.RANK.EQ(Tabulka3811142632384450566268748086[[#This Row],[ ]],Tabulka3811142632384450566268748086[[ ]],1))</f>
        <v>#N/A</v>
      </c>
      <c r="AA20" s="35"/>
      <c r="AB20" s="45" t="e">
        <f>VLOOKUP(Tabulka3811142632384450566268748086[[#This Row],[Tým]],Tabulka1710132531374349556167737985[[Tým]:[ ]],2,FALSE)</f>
        <v>#N/A</v>
      </c>
      <c r="AC20" s="45" t="e">
        <f>VLOOKUP(Tabulka3811142632384450566268748086[[#This Row],[Tým]],Tabulka1710132531374349556167737985[[Tým]:[ ]],3,FALSE)</f>
        <v>#N/A</v>
      </c>
      <c r="AD20" s="34" t="e">
        <f>VLOOKUP(Tabulka3811142632384450566268748086[[#This Row],[Tým]],Tabulka1710132531374349556167737985[[Tým]:[ ]],4,FALSE)</f>
        <v>#N/A</v>
      </c>
      <c r="AE20" s="34" t="e">
        <f>VLOOKUP(Tabulka3811142632384450566268748086[[#This Row],[Tým]],Tabulka1710132531374349556167737985[[Tým]:[ ]],7,FALSE)</f>
        <v>#N/A</v>
      </c>
      <c r="AF20" s="36" t="e">
        <f>IF(Tabulka3811142632384450566268748086[[#This Row],[Výsledný čas]]="N",5,IF(Tabulka3811142632384450566268748086[[#This Row],[Výsledný čas]]="D",0,IF(Tabulka3811142632384450566268748086[[#This Row],[Výsledný čas]]="NEÚČAST",0,Tabulka4[[#Totals],[Týmy muži]]+6-Tabulka3811142632384450566268748086[[#This Row],[Umístění]])))</f>
        <v>#N/A</v>
      </c>
      <c r="AH20" s="33" t="e">
        <f>_xlfn.RANK.EQ(Tabulka5912152733394551576369758187[[#This Row],[Body]],Tabulka5912152733394551576369758187[Body],0)</f>
        <v>#N/A</v>
      </c>
      <c r="AI20" s="35"/>
      <c r="AJ20" s="34" t="e">
        <f>VLOOKUP(Tabulka5912152733394551576369758187[[#This Row],[Tým]],Tabulka3811142632384450566268748086[[Tým]:[Body]],6,FALSE)+Tabulka5912152733394551576369758187[[#This Row],[ ]]</f>
        <v>#N/A</v>
      </c>
      <c r="AK20" s="48" t="e">
        <f>VLOOKUP(Tabulka5912152733394551576369758187[[#This Row],[Tým]],Tabulka59121527333945515763697581[[Tým]:[Body]],2,FALSE)</f>
        <v>#N/A</v>
      </c>
      <c r="AL20" s="93" t="e">
        <f>Tabulka5912152733394551576369758187[[#This Row],[Umístění]]</f>
        <v>#N/A</v>
      </c>
      <c r="AM20" s="15"/>
      <c r="AP20" s="1"/>
    </row>
    <row r="21" spans="26:42" ht="24.95" customHeight="1" x14ac:dyDescent="0.4">
      <c r="AB21" s="3"/>
      <c r="AC21" s="3"/>
    </row>
    <row r="22" spans="26:42" ht="24.95" customHeight="1" thickBot="1" x14ac:dyDescent="0.45">
      <c r="AB22" s="3"/>
      <c r="AC22" s="3"/>
    </row>
    <row r="23" spans="26:42" ht="24.95" customHeight="1" x14ac:dyDescent="0.4">
      <c r="Z23" s="308" t="str">
        <f>N2</f>
        <v xml:space="preserve">Výsledky - Soutěže 13. kola NHHL 0.1. 1900  - ŽENY </v>
      </c>
      <c r="AA23" s="309"/>
      <c r="AB23" s="309"/>
      <c r="AC23" s="309"/>
      <c r="AD23" s="309"/>
      <c r="AE23" s="309"/>
      <c r="AF23" s="310"/>
      <c r="AH23" s="308" t="s">
        <v>144</v>
      </c>
      <c r="AI23" s="309"/>
      <c r="AJ23" s="309"/>
      <c r="AK23" s="310"/>
      <c r="AL23" s="15"/>
      <c r="AM23" s="15"/>
    </row>
    <row r="24" spans="26:42" ht="24.95" customHeight="1" x14ac:dyDescent="0.4">
      <c r="Z24" s="31" t="s">
        <v>1</v>
      </c>
      <c r="AA24" s="25" t="s">
        <v>2</v>
      </c>
      <c r="AB24" s="25" t="s">
        <v>3</v>
      </c>
      <c r="AC24" s="25" t="s">
        <v>4</v>
      </c>
      <c r="AD24" s="25" t="s">
        <v>5</v>
      </c>
      <c r="AE24" s="25" t="s">
        <v>27</v>
      </c>
      <c r="AF24" s="29" t="s">
        <v>7</v>
      </c>
      <c r="AH24" s="31" t="s">
        <v>1</v>
      </c>
      <c r="AI24" s="25" t="s">
        <v>2</v>
      </c>
      <c r="AJ24" s="25" t="s">
        <v>7</v>
      </c>
      <c r="AK24" s="29" t="s">
        <v>27</v>
      </c>
      <c r="AL24" s="94" t="s">
        <v>73</v>
      </c>
      <c r="AM24" s="15"/>
      <c r="AP24" s="1"/>
    </row>
    <row r="25" spans="26:42" ht="24.95" customHeight="1" x14ac:dyDescent="0.4">
      <c r="Z25" s="31" t="e">
        <f>IF(OR(Tabulka38111422834404652586470768288[Výsledný čas]="N",Tabulka38111422834404652586470768288[Výsledný čas]="D",Tabulka38111422834404652586470768288[Výsledný čas]="NEÚČAST"),Uvod!$E$6,_xlfn.RANK.EQ(Tabulka38111422834404652586470768288[[#This Row],[ ]],Tabulka38111422834404652586470768288[[ ]],1))</f>
        <v>#N/A</v>
      </c>
      <c r="AA25" s="27"/>
      <c r="AB25" s="44" t="e">
        <f>VLOOKUP(Tabulka38111422834404652586470768288[[#This Row],[Tým]],Tabulka17101363036424854606672788490[[Tým]:[ ]],2,FALSE)</f>
        <v>#N/A</v>
      </c>
      <c r="AC25" s="44" t="e">
        <f>VLOOKUP(Tabulka38111422834404652586470768288[[#This Row],[Tým]],Tabulka17101363036424854606672788490[[Tým]:[ ]],3,FALSE)</f>
        <v>#N/A</v>
      </c>
      <c r="AD25" s="25" t="e">
        <f>VLOOKUP(Tabulka38111422834404652586470768288[[#This Row],[Tým]],Tabulka17101363036424854606672788490[[Tým]:[ ]],4,FALSE)</f>
        <v>#N/A</v>
      </c>
      <c r="AE25" s="25" t="e">
        <f>VLOOKUP(Tabulka38111422834404652586470768288[[#This Row],[Tým]],Tabulka17101363036424854606672788490[[Tým]:[ ]],7,FALSE)</f>
        <v>#N/A</v>
      </c>
      <c r="AF25" s="29" t="e">
        <f>IF(Tabulka38111422834404652586470768288[[#This Row],[Výsledný čas]]="N",5,IF(Tabulka38111422834404652586470768288[[#This Row],[Výsledný čas]]="D",0,IF(Tabulka38111422834404652586470768288[[#This Row],[Výsledný čas]]="NEÚČAST",0,Tabulka8[[#Totals],[Týmy ženy]]+6-Tabulka38111422834404652586470768288[[#This Row],[Umístění]])))</f>
        <v>#N/A</v>
      </c>
      <c r="AH25" s="31" t="e">
        <f>_xlfn.RANK.EQ(Tabulka59121532935414753596571778389[[#This Row],[Body]],Tabulka59121532935414753596571778389[Body],0)</f>
        <v>#N/A</v>
      </c>
      <c r="AI25" s="38"/>
      <c r="AJ25" s="25" t="e">
        <f>VLOOKUP(Tabulka59121532935414753596571778389[[#This Row],[Tým]],Tabulka38111422834404652586470768288[[Tým]:[Body]],6,FALSE)+Tabulka59121532935414753596571778389[[#This Row],[ ]]</f>
        <v>#N/A</v>
      </c>
      <c r="AK25" s="39" t="e">
        <f>VLOOKUP(Tabulka59121532935414753596571778389[[#This Row],[Tým]],Tabulka591215329354147535965717783[[Tým]:[Body]],2,FALSE)</f>
        <v>#N/A</v>
      </c>
      <c r="AL25" s="92" t="e">
        <f>Tabulka59121532935414753596571778389[[#This Row],[Umístění]]</f>
        <v>#N/A</v>
      </c>
      <c r="AM25" s="15"/>
      <c r="AP25" s="1"/>
    </row>
    <row r="26" spans="26:42" ht="24.95" customHeight="1" x14ac:dyDescent="0.4">
      <c r="Z26" s="31" t="e">
        <f>IF(OR(Tabulka38111422834404652586470768288[Výsledný čas]="N",Tabulka38111422834404652586470768288[Výsledný čas]="D",Tabulka38111422834404652586470768288[Výsledný čas]="NEÚČAST"),Uvod!$E$6,_xlfn.RANK.EQ(Tabulka38111422834404652586470768288[[#This Row],[ ]],Tabulka38111422834404652586470768288[[ ]],1))</f>
        <v>#N/A</v>
      </c>
      <c r="AA26" s="27"/>
      <c r="AB26" s="44" t="e">
        <f>VLOOKUP(Tabulka38111422834404652586470768288[[#This Row],[Tým]],Tabulka17101363036424854606672788490[[Tým]:[ ]],2,FALSE)</f>
        <v>#N/A</v>
      </c>
      <c r="AC26" s="44" t="e">
        <f>VLOOKUP(Tabulka38111422834404652586470768288[[#This Row],[Tým]],Tabulka17101363036424854606672788490[[Tým]:[ ]],3,FALSE)</f>
        <v>#N/A</v>
      </c>
      <c r="AD26" s="25" t="e">
        <f>VLOOKUP(Tabulka38111422834404652586470768288[[#This Row],[Tým]],Tabulka17101363036424854606672788490[[Tým]:[ ]],4,FALSE)</f>
        <v>#N/A</v>
      </c>
      <c r="AE26" s="25" t="e">
        <f>VLOOKUP(Tabulka38111422834404652586470768288[[#This Row],[Tým]],Tabulka17101363036424854606672788490[[Tým]:[ ]],7,FALSE)</f>
        <v>#N/A</v>
      </c>
      <c r="AF26" s="29" t="e">
        <f>IF(Tabulka38111422834404652586470768288[[#This Row],[Výsledný čas]]="N",5,IF(Tabulka38111422834404652586470768288[[#This Row],[Výsledný čas]]="D",0,IF(Tabulka38111422834404652586470768288[[#This Row],[Výsledný čas]]="NEÚČAST",0,Tabulka8[[#Totals],[Týmy ženy]]+6-Tabulka38111422834404652586470768288[[#This Row],[Umístění]])))</f>
        <v>#N/A</v>
      </c>
      <c r="AH26" s="31" t="e">
        <f>_xlfn.RANK.EQ(Tabulka59121532935414753596571778389[[#This Row],[Body]],Tabulka59121532935414753596571778389[Body],0)</f>
        <v>#N/A</v>
      </c>
      <c r="AI26" s="38"/>
      <c r="AJ26" s="25" t="e">
        <f>VLOOKUP(Tabulka59121532935414753596571778389[[#This Row],[Tým]],Tabulka38111422834404652586470768288[[Tým]:[Body]],6,FALSE)+Tabulka59121532935414753596571778389[[#This Row],[ ]]</f>
        <v>#N/A</v>
      </c>
      <c r="AK26" s="39" t="e">
        <f>VLOOKUP(Tabulka59121532935414753596571778389[[#This Row],[Tým]],Tabulka591215329354147535965717783[[Tým]:[Body]],2,FALSE)</f>
        <v>#N/A</v>
      </c>
      <c r="AL26" s="47" t="e">
        <f>Tabulka59121532935414753596571778389[[#This Row],[Umístění]]</f>
        <v>#N/A</v>
      </c>
      <c r="AM26" s="15"/>
      <c r="AP26" s="1"/>
    </row>
    <row r="27" spans="26:42" ht="24.95" customHeight="1" x14ac:dyDescent="0.4">
      <c r="Z27" s="31" t="e">
        <f>IF(OR(Tabulka38111422834404652586470768288[Výsledný čas]="N",Tabulka38111422834404652586470768288[Výsledný čas]="D",Tabulka38111422834404652586470768288[Výsledný čas]="NEÚČAST"),Uvod!$E$6,_xlfn.RANK.EQ(Tabulka38111422834404652586470768288[[#This Row],[ ]],Tabulka38111422834404652586470768288[[ ]],1))</f>
        <v>#N/A</v>
      </c>
      <c r="AA27" s="27"/>
      <c r="AB27" s="44" t="e">
        <f>VLOOKUP(Tabulka38111422834404652586470768288[[#This Row],[Tým]],Tabulka17101363036424854606672788490[[Tým]:[ ]],2,FALSE)</f>
        <v>#N/A</v>
      </c>
      <c r="AC27" s="44" t="e">
        <f>VLOOKUP(Tabulka38111422834404652586470768288[[#This Row],[Tým]],Tabulka17101363036424854606672788490[[Tým]:[ ]],3,FALSE)</f>
        <v>#N/A</v>
      </c>
      <c r="AD27" s="25" t="e">
        <f>VLOOKUP(Tabulka38111422834404652586470768288[[#This Row],[Tým]],Tabulka17101363036424854606672788490[[Tým]:[ ]],4,FALSE)</f>
        <v>#N/A</v>
      </c>
      <c r="AE27" s="25" t="e">
        <f>VLOOKUP(Tabulka38111422834404652586470768288[[#This Row],[Tým]],Tabulka17101363036424854606672788490[[Tým]:[ ]],7,FALSE)</f>
        <v>#N/A</v>
      </c>
      <c r="AF27" s="29" t="e">
        <f>IF(Tabulka38111422834404652586470768288[[#This Row],[Výsledný čas]]="N",5,IF(Tabulka38111422834404652586470768288[[#This Row],[Výsledný čas]]="D",0,IF(Tabulka38111422834404652586470768288[[#This Row],[Výsledný čas]]="NEÚČAST",0,Tabulka8[[#Totals],[Týmy ženy]]+6-Tabulka38111422834404652586470768288[[#This Row],[Umístění]])))</f>
        <v>#N/A</v>
      </c>
      <c r="AH27" s="31" t="e">
        <f>_xlfn.RANK.EQ(Tabulka59121532935414753596571778389[[#This Row],[Body]],Tabulka59121532935414753596571778389[Body],0)</f>
        <v>#N/A</v>
      </c>
      <c r="AI27" s="38"/>
      <c r="AJ27" s="25" t="e">
        <f>VLOOKUP(Tabulka59121532935414753596571778389[[#This Row],[Tým]],Tabulka38111422834404652586470768288[[Tým]:[Body]],6,FALSE)+Tabulka59121532935414753596571778389[[#This Row],[ ]]</f>
        <v>#N/A</v>
      </c>
      <c r="AK27" s="39" t="e">
        <f>VLOOKUP(Tabulka59121532935414753596571778389[[#This Row],[Tým]],Tabulka591215329354147535965717783[[Tým]:[Body]],2,FALSE)</f>
        <v>#N/A</v>
      </c>
      <c r="AL27" s="47" t="e">
        <f>Tabulka59121532935414753596571778389[[#This Row],[Umístění]]</f>
        <v>#N/A</v>
      </c>
      <c r="AM27" s="15"/>
      <c r="AP27" s="1"/>
    </row>
    <row r="28" spans="26:42" ht="24.95" customHeight="1" thickBot="1" x14ac:dyDescent="0.45">
      <c r="Z28" s="33" t="e">
        <f>IF(OR(Tabulka38111422834404652586470768288[Výsledný čas]="N",Tabulka38111422834404652586470768288[Výsledný čas]="D",Tabulka38111422834404652586470768288[Výsledný čas]="NEÚČAST"),Uvod!$E$6,_xlfn.RANK.EQ(Tabulka38111422834404652586470768288[[#This Row],[ ]],Tabulka38111422834404652586470768288[[ ]],1))</f>
        <v>#N/A</v>
      </c>
      <c r="AA28" s="35"/>
      <c r="AB28" s="45" t="e">
        <f>VLOOKUP(Tabulka38111422834404652586470768288[[#This Row],[Tým]],Tabulka17101363036424854606672788490[[Tým]:[ ]],2,FALSE)</f>
        <v>#N/A</v>
      </c>
      <c r="AC28" s="45" t="e">
        <f>VLOOKUP(Tabulka38111422834404652586470768288[[#This Row],[Tým]],Tabulka17101363036424854606672788490[[Tým]:[ ]],3,FALSE)</f>
        <v>#N/A</v>
      </c>
      <c r="AD28" s="34" t="e">
        <f>VLOOKUP(Tabulka38111422834404652586470768288[[#This Row],[Tým]],Tabulka17101363036424854606672788490[[Tým]:[ ]],4,FALSE)</f>
        <v>#N/A</v>
      </c>
      <c r="AE28" s="34" t="e">
        <f>VLOOKUP(Tabulka38111422834404652586470768288[[#This Row],[Tým]],Tabulka17101363036424854606672788490[[Tým]:[ ]],7,FALSE)</f>
        <v>#N/A</v>
      </c>
      <c r="AF28" s="36" t="e">
        <f>IF(Tabulka38111422834404652586470768288[[#This Row],[Výsledný čas]]="N",5,IF(Tabulka38111422834404652586470768288[[#This Row],[Výsledný čas]]="D",0,IF(Tabulka38111422834404652586470768288[[#This Row],[Výsledný čas]]="NEÚČAST",0,Tabulka8[[#Totals],[Týmy ženy]]+6-Tabulka38111422834404652586470768288[[#This Row],[Umístění]])))</f>
        <v>#N/A</v>
      </c>
      <c r="AH28" s="33" t="e">
        <f>_xlfn.RANK.EQ(Tabulka59121532935414753596571778389[[#This Row],[Body]],Tabulka59121532935414753596571778389[Body],0)</f>
        <v>#N/A</v>
      </c>
      <c r="AI28" s="40"/>
      <c r="AJ28" s="34" t="e">
        <f>VLOOKUP(Tabulka59121532935414753596571778389[[#This Row],[Tým]],Tabulka38111422834404652586470768288[[Tým]:[Body]],6,FALSE)+Tabulka59121532935414753596571778389[[#This Row],[ ]]</f>
        <v>#N/A</v>
      </c>
      <c r="AK28" s="41" t="e">
        <f>VLOOKUP(Tabulka59121532935414753596571778389[[#This Row],[Tým]],Tabulka591215329354147535965717783[[Tým]:[Body]],2,FALSE)</f>
        <v>#N/A</v>
      </c>
      <c r="AL28" s="93" t="e">
        <f>Tabulka59121532935414753596571778389[[#This Row],[Umístění]]</f>
        <v>#N/A</v>
      </c>
      <c r="AM28" s="15"/>
      <c r="AP28" s="1"/>
    </row>
    <row r="29" spans="26:42" ht="24.95" customHeight="1" x14ac:dyDescent="0.4">
      <c r="AB29" s="3"/>
      <c r="AC29" s="3"/>
      <c r="AK29" s="4"/>
    </row>
    <row r="30" spans="26:42" ht="24.95" customHeight="1" x14ac:dyDescent="0.4">
      <c r="AB30" s="3"/>
      <c r="AC30" s="3"/>
      <c r="AK30" s="4"/>
    </row>
    <row r="31" spans="26:42" ht="24.95" customHeight="1" x14ac:dyDescent="0.4">
      <c r="AB31" s="3"/>
      <c r="AC31" s="3"/>
      <c r="AK31" s="4"/>
    </row>
    <row r="32" spans="26:42" ht="24.95" customHeight="1" x14ac:dyDescent="0.4">
      <c r="AB32" s="3"/>
      <c r="AC32" s="3"/>
      <c r="AK32" s="4"/>
    </row>
    <row r="33" spans="28:37" ht="24.95" customHeight="1" x14ac:dyDescent="0.4">
      <c r="AB33" s="3"/>
      <c r="AC33" s="3"/>
      <c r="AK33" s="4"/>
    </row>
    <row r="34" spans="28:37" ht="24.95" customHeight="1" x14ac:dyDescent="0.4">
      <c r="AB34" s="3"/>
      <c r="AC34" s="3"/>
      <c r="AK34" s="4"/>
    </row>
    <row r="35" spans="28:37" ht="24.95" customHeight="1" x14ac:dyDescent="0.4">
      <c r="AB35" s="3"/>
      <c r="AC35" s="3"/>
      <c r="AK35" s="4"/>
    </row>
    <row r="36" spans="28:37" ht="24.95" customHeight="1" x14ac:dyDescent="0.4">
      <c r="AB36" s="3"/>
      <c r="AC36" s="3"/>
      <c r="AK36" s="4"/>
    </row>
    <row r="37" spans="28:37" ht="24.95" customHeight="1" x14ac:dyDescent="0.4">
      <c r="AB37" s="3"/>
      <c r="AC37" s="3"/>
      <c r="AK37" s="4"/>
    </row>
    <row r="38" spans="28:37" ht="24.95" customHeight="1" x14ac:dyDescent="0.4">
      <c r="AB38" s="3"/>
      <c r="AC38" s="3"/>
      <c r="AK38" s="4"/>
    </row>
    <row r="39" spans="28:37" ht="24.95" customHeight="1" x14ac:dyDescent="0.4">
      <c r="AB39" s="3"/>
      <c r="AC39" s="3"/>
      <c r="AK39" s="4"/>
    </row>
    <row r="40" spans="28:37" ht="24.95" customHeight="1" x14ac:dyDescent="0.4">
      <c r="AB40" s="3"/>
      <c r="AC40" s="3"/>
      <c r="AK40" s="4"/>
    </row>
    <row r="41" spans="28:37" ht="24.95" customHeight="1" thickBot="1" x14ac:dyDescent="0.45">
      <c r="AB41" s="3"/>
      <c r="AC41" s="3"/>
      <c r="AK41" s="4"/>
    </row>
    <row r="42" spans="28:37" ht="24.95" customHeight="1" x14ac:dyDescent="0.4">
      <c r="AI42" s="42"/>
    </row>
    <row r="43" spans="28:37" ht="24.95" customHeight="1" thickBot="1" x14ac:dyDescent="0.45">
      <c r="AI43" s="43"/>
    </row>
    <row r="44" spans="28:37" ht="24.95" customHeight="1" x14ac:dyDescent="0.4"/>
    <row r="45" spans="28:37" ht="24.95" customHeight="1" x14ac:dyDescent="0.4"/>
    <row r="46" spans="28:37" ht="24.95" customHeight="1" x14ac:dyDescent="0.4"/>
    <row r="47" spans="28:37" ht="24.95" customHeight="1" x14ac:dyDescent="0.4"/>
    <row r="48" spans="28:37" ht="24.95" customHeight="1" x14ac:dyDescent="0.4"/>
    <row r="49" ht="24.95" customHeight="1" x14ac:dyDescent="0.4"/>
    <row r="50" ht="24.95" customHeight="1" x14ac:dyDescent="0.4"/>
    <row r="51" ht="24.95" customHeight="1" x14ac:dyDescent="0.4"/>
    <row r="52" ht="24.95" customHeight="1" x14ac:dyDescent="0.4"/>
    <row r="53" ht="24.95" customHeight="1" x14ac:dyDescent="0.4"/>
  </sheetData>
  <mergeCells count="6">
    <mergeCell ref="B2:J2"/>
    <mergeCell ref="N2:V2"/>
    <mergeCell ref="Z2:AF2"/>
    <mergeCell ref="AH2:AK2"/>
    <mergeCell ref="Z23:AF23"/>
    <mergeCell ref="AH23:AK23"/>
  </mergeCells>
  <phoneticPr fontId="12" type="noConversion"/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7E57F-E51C-4438-B149-492034CD54F7}">
  <dimension ref="A1:AP53"/>
  <sheetViews>
    <sheetView showGridLines="0" zoomScale="55" zoomScaleNormal="55" workbookViewId="0">
      <selection activeCell="AH39" sqref="AH39"/>
    </sheetView>
  </sheetViews>
  <sheetFormatPr defaultRowHeight="26.25" x14ac:dyDescent="0.4"/>
  <cols>
    <col min="1" max="1" width="5.7109375" style="1" customWidth="1"/>
    <col min="2" max="3" width="16.7109375" style="1" customWidth="1"/>
    <col min="4" max="4" width="35.7109375" style="1" customWidth="1"/>
    <col min="5" max="6" width="16.7109375" style="1" customWidth="1"/>
    <col min="7" max="7" width="20.7109375" style="1" customWidth="1"/>
    <col min="8" max="9" width="20.7109375" style="1" hidden="1" customWidth="1"/>
    <col min="10" max="12" width="11.5703125" style="1" hidden="1" customWidth="1"/>
    <col min="13" max="13" width="10.7109375" style="1" customWidth="1"/>
    <col min="14" max="15" width="16.7109375" style="1" customWidth="1"/>
    <col min="16" max="16" width="35.7109375" style="1" customWidth="1"/>
    <col min="17" max="18" width="16.7109375" style="1" customWidth="1"/>
    <col min="19" max="19" width="20.7109375" style="1" customWidth="1"/>
    <col min="20" max="21" width="20.7109375" style="1" hidden="1" customWidth="1"/>
    <col min="22" max="24" width="13.7109375" style="1" hidden="1" customWidth="1"/>
    <col min="25" max="25" width="9.140625" style="1"/>
    <col min="26" max="26" width="16.7109375" style="1" customWidth="1"/>
    <col min="27" max="27" width="35.7109375" style="1" customWidth="1"/>
    <col min="28" max="29" width="16.7109375" style="1" customWidth="1"/>
    <col min="30" max="30" width="20.7109375" style="1" customWidth="1"/>
    <col min="31" max="31" width="13.7109375" style="1" hidden="1" customWidth="1"/>
    <col min="32" max="32" width="12.7109375" style="1" customWidth="1"/>
    <col min="33" max="33" width="9.140625" style="1"/>
    <col min="34" max="34" width="16.7109375" style="1" customWidth="1"/>
    <col min="35" max="35" width="35.7109375" style="1" customWidth="1"/>
    <col min="36" max="36" width="12.7109375" style="1" customWidth="1"/>
    <col min="37" max="38" width="34.42578125" style="1" hidden="1" customWidth="1"/>
    <col min="39" max="41" width="9.140625" style="1"/>
    <col min="42" max="16384" width="9.140625" style="2"/>
  </cols>
  <sheetData>
    <row r="1" spans="1:42" ht="24.95" customHeight="1" thickBot="1" x14ac:dyDescent="0.45"/>
    <row r="2" spans="1:42" ht="24.95" customHeight="1" x14ac:dyDescent="0.4">
      <c r="A2" s="9"/>
      <c r="B2" s="317" t="str">
        <f>"Výsledky - Soutěže "&amp;Uvod!A16&amp;" kola NHHL "&amp;TEXT(Uvod!B16,"d.m. rrrr")&amp;" "&amp;Uvod!C16&amp;" - MUŽI "</f>
        <v xml:space="preserve">Výsledky - Soutěže 14. kola NHHL 0.1. 1900  - MUŽI </v>
      </c>
      <c r="C2" s="318"/>
      <c r="D2" s="318"/>
      <c r="E2" s="318"/>
      <c r="F2" s="318"/>
      <c r="G2" s="318"/>
      <c r="H2" s="318"/>
      <c r="I2" s="318"/>
      <c r="J2" s="319"/>
      <c r="K2" s="177"/>
      <c r="L2" s="177"/>
      <c r="M2" s="15"/>
      <c r="N2" s="308" t="str">
        <f>"Výsledky - Soutěže "&amp;Uvod!A16&amp;" kola NHHL "&amp;TEXT(Uvod!B16,"d.m. rrrr")&amp;" "&amp;Uvod!C16&amp;" - ŽENY "</f>
        <v xml:space="preserve">Výsledky - Soutěže 14. kola NHHL 0.1. 1900  - ŽENY </v>
      </c>
      <c r="O2" s="309"/>
      <c r="P2" s="309"/>
      <c r="Q2" s="309"/>
      <c r="R2" s="309"/>
      <c r="S2" s="309"/>
      <c r="T2" s="320"/>
      <c r="U2" s="320"/>
      <c r="V2" s="310"/>
      <c r="W2" s="180"/>
      <c r="X2" s="180"/>
      <c r="Y2" s="15"/>
      <c r="Z2" s="324" t="str">
        <f>B2</f>
        <v xml:space="preserve">Výsledky - Soutěže 14. kola NHHL 0.1. 1900  - MUŽI </v>
      </c>
      <c r="AA2" s="325"/>
      <c r="AB2" s="325"/>
      <c r="AC2" s="325"/>
      <c r="AD2" s="325"/>
      <c r="AE2" s="325"/>
      <c r="AF2" s="326"/>
      <c r="AH2" s="324" t="s">
        <v>147</v>
      </c>
      <c r="AI2" s="325"/>
      <c r="AJ2" s="325"/>
      <c r="AK2" s="326"/>
      <c r="AM2" s="15"/>
    </row>
    <row r="3" spans="1:42" ht="24.95" customHeight="1" x14ac:dyDescent="0.4">
      <c r="B3" s="21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3" t="s">
        <v>5</v>
      </c>
      <c r="H3" s="22" t="s">
        <v>73</v>
      </c>
      <c r="I3" s="22" t="s">
        <v>74</v>
      </c>
      <c r="J3" s="1" t="s">
        <v>27</v>
      </c>
      <c r="N3" s="28" t="s">
        <v>0</v>
      </c>
      <c r="O3" s="24" t="s">
        <v>1</v>
      </c>
      <c r="P3" s="24" t="s">
        <v>2</v>
      </c>
      <c r="Q3" s="24" t="s">
        <v>3</v>
      </c>
      <c r="R3" s="24" t="s">
        <v>4</v>
      </c>
      <c r="S3" s="24" t="s">
        <v>5</v>
      </c>
      <c r="T3" s="233" t="s">
        <v>73</v>
      </c>
      <c r="U3" s="233" t="s">
        <v>74</v>
      </c>
      <c r="V3" s="29" t="s">
        <v>27</v>
      </c>
      <c r="Y3" s="15"/>
      <c r="Z3" s="31" t="s">
        <v>1</v>
      </c>
      <c r="AA3" s="25" t="s">
        <v>2</v>
      </c>
      <c r="AB3" s="25" t="s">
        <v>3</v>
      </c>
      <c r="AC3" s="25" t="s">
        <v>4</v>
      </c>
      <c r="AD3" s="25" t="s">
        <v>5</v>
      </c>
      <c r="AE3" s="25" t="s">
        <v>27</v>
      </c>
      <c r="AF3" s="29" t="s">
        <v>7</v>
      </c>
      <c r="AH3" s="31" t="s">
        <v>1</v>
      </c>
      <c r="AI3" s="25" t="s">
        <v>2</v>
      </c>
      <c r="AJ3" s="25" t="s">
        <v>7</v>
      </c>
      <c r="AK3" s="29" t="s">
        <v>27</v>
      </c>
      <c r="AL3" s="112" t="s">
        <v>73</v>
      </c>
      <c r="AM3" s="15"/>
      <c r="AP3" s="1"/>
    </row>
    <row r="4" spans="1:42" ht="24.95" customHeight="1" x14ac:dyDescent="0.4">
      <c r="B4" s="6"/>
      <c r="C4" s="1" t="str">
        <f>IF(Tabulka171013253137434955616773798591[[#This Row],[ ]]="","",IF(Tabulka171013253137434955616773798591[[#This Row],[ ]]="NEÚČAST","",IF(OR(Tabulka171013253137434955616773798591[Výsledný čas]="N",Tabulka171013253137434955616773798591[Výsledný čas]="D"),$L$4-$L$5,_xlfn.RANK.EQ(Tabulka171013253137434955616773798591[[#This Row],[ ]],Tabulka171013253137434955616773798591[[ ]],1))))</f>
        <v/>
      </c>
      <c r="D4" s="7"/>
      <c r="E4" s="8"/>
      <c r="F4" s="8"/>
      <c r="G4" s="9" t="str">
        <f>IF(OR(Tabulka171013253137434955616773798591[[#This Row],[LP]]="N",Tabulka171013253137434955616773798591[[#This Row],[PP]]="N"),"N",IF(OR(Tabulka171013253137434955616773798591[[#This Row],[LP]]="D",Tabulka171013253137434955616773798591[[#This Row],[PP]]="D"),"D",IF(OR(Tabulka171013253137434955616773798591[[#This Row],[LP]]="NEÚČAST",Tabulka171013253137434955616773798591[[#This Row],[PP]]="NEÚČAST"),"NEÚČAST",IF(OR(Tabulka171013253137434955616773798591[[#This Row],[LP]]="",Tabulka171013253137434955616773798591[[#This Row],[PP]]=""),"",MAX(Tabulka171013253137434955616773798591[[#This Row],[LP]:[PP]])))))</f>
        <v/>
      </c>
      <c r="H4" s="1">
        <f>COUNTIF(Tabulka171013253137434955616773798591[[#This Row],[Tým]],"*")</f>
        <v>0</v>
      </c>
      <c r="I4" s="1">
        <f>COUNTIF(Tabulka171013253137434955616773798591[[#This Row],[Výsledný čas]],"NEÚČAST")</f>
        <v>0</v>
      </c>
      <c r="J4" s="1" t="str">
        <f>IF(Tabulka171013253137434955616773798591[[#This Row],[Výsledný čas]]="N",998,IF(Tabulka171013253137434955616773798591[[#This Row],[Výsledný čas]]="D",998,IF(Tabulka171013253137434955616773798591[[#This Row],[Výsledný čas]]="","",Tabulka171013253137434955616773798591[[#This Row],[Výsledný čas]])))</f>
        <v/>
      </c>
      <c r="L4" s="1">
        <f>SUM(Tabulka171013253137434955616773798591[Sloupec1])</f>
        <v>0</v>
      </c>
      <c r="N4" s="30"/>
      <c r="O4" s="25" t="str">
        <f>IF(Tabulka1710136303642485460667278849096[[#This Row],[ ]]="","",IF(Tabulka1710136303642485460667278849096[[#This Row],[ ]]="NEÚČAST","",IF(OR(Tabulka1710136303642485460667278849096[Výsledný čas]="N",Tabulka1710136303642485460667278849096[Výsledný čas]="D"),$X$4-$X$5,_xlfn.RANK.EQ(Tabulka1710136303642485460667278849096[[#This Row],[ ]],Tabulka1710136303642485460667278849096[[ ]],1))))</f>
        <v/>
      </c>
      <c r="P4" s="26"/>
      <c r="Q4" s="5"/>
      <c r="R4" s="5"/>
      <c r="S4" s="25" t="str">
        <f>IF(OR(Tabulka1710136303642485460667278849096[[#This Row],[LP]]="N",Tabulka1710136303642485460667278849096[[#This Row],[PP]]="N"),"N",IF(OR(Tabulka1710136303642485460667278849096[[#This Row],[LP]]="D",Tabulka1710136303642485460667278849096[[#This Row],[PP]]="D"),"D",IF(OR(Tabulka1710136303642485460667278849096[[#This Row],[LP]]="NEÚČAST",Tabulka1710136303642485460667278849096[[#This Row],[PP]]="NEÚČAST"),"NEÚČAST",IF(OR(Tabulka1710136303642485460667278849096[[#This Row],[LP]]="",Tabulka1710136303642485460667278849096[[#This Row],[PP]]=""),"",MAX(Tabulka1710136303642485460667278849096[[#This Row],[LP]:[PP]])))))</f>
        <v/>
      </c>
      <c r="T4" s="46">
        <f>COUNTIF(Tabulka1710136303642485460667278849096[[#This Row],[Tým]],"*")</f>
        <v>0</v>
      </c>
      <c r="U4" s="46">
        <f>COUNTIF(Tabulka1710136303642485460667278849096[[#This Row],[Výsledný čas]],"NEÚČAST")</f>
        <v>0</v>
      </c>
      <c r="V4" s="29" t="str">
        <f>IF(Tabulka1710136303642485460667278849096[[#This Row],[Výsledný čas]]="N",998,IF(Tabulka1710136303642485460667278849096[[#This Row],[Výsledný čas]]="D",998,IF(Tabulka1710136303642485460667278849096[[#This Row],[Výsledný čas]]="","",Tabulka1710136303642485460667278849096[[#This Row],[Výsledný čas]])))</f>
        <v/>
      </c>
      <c r="X4" s="1">
        <f>SUM(Tabulka1710136303642485460667278849096[Sloupec1])</f>
        <v>0</v>
      </c>
      <c r="Y4" s="15"/>
      <c r="Z4" s="31" t="e">
        <f>IF(OR(Tabulka381114263238445056626874808692[Výsledný čas]="N",Tabulka381114263238445056626874808692[Výsledný čas]="D",Tabulka381114263238445056626874808692[Výsledný čas]="NEÚČAST"),Uvod!$E$4,_xlfn.RANK.EQ(Tabulka381114263238445056626874808692[[#This Row],[ ]],Tabulka381114263238445056626874808692[[ ]],1))</f>
        <v>#N/A</v>
      </c>
      <c r="AA4" s="27"/>
      <c r="AB4" s="44" t="e">
        <f>VLOOKUP(Tabulka381114263238445056626874808692[[#This Row],[Tým]],Tabulka171013253137434955616773798591[[Tým]:[ ]],2,FALSE)</f>
        <v>#N/A</v>
      </c>
      <c r="AC4" s="44" t="e">
        <f>VLOOKUP(Tabulka381114263238445056626874808692[[#This Row],[Tým]],Tabulka171013253137434955616773798591[[Tým]:[ ]],3,FALSE)</f>
        <v>#N/A</v>
      </c>
      <c r="AD4" s="25" t="e">
        <f>VLOOKUP(Tabulka381114263238445056626874808692[[#This Row],[Tým]],Tabulka171013253137434955616773798591[[Tým]:[ ]],4,FALSE)</f>
        <v>#N/A</v>
      </c>
      <c r="AE4" s="25" t="e">
        <f>VLOOKUP(Tabulka381114263238445056626874808692[[#This Row],[Tým]],Tabulka171013253137434955616773798591[[Tým]:[ ]],7,FALSE)</f>
        <v>#N/A</v>
      </c>
      <c r="AF4" s="29" t="e">
        <f>IF(Tabulka381114263238445056626874808692[[#This Row],[Výsledný čas]]="N",5,IF(Tabulka381114263238445056626874808692[[#This Row],[Výsledný čas]]="D",0,IF(Tabulka381114263238445056626874808692[[#This Row],[Výsledný čas]]="NEÚČAST",0,Tabulka4[[#Totals],[Týmy muži]]+6-Tabulka381114263238445056626874808692[[#This Row],[Umístění]])))</f>
        <v>#N/A</v>
      </c>
      <c r="AH4" s="31" t="e">
        <f>_xlfn.RANK.EQ(Tabulka591215273339455157636975818793[[#This Row],[Body]],Tabulka591215273339455157636975818793[Body],0)</f>
        <v>#N/A</v>
      </c>
      <c r="AI4" s="27"/>
      <c r="AJ4" s="25" t="e">
        <f>VLOOKUP(Tabulka591215273339455157636975818793[[#This Row],[Tým]],Tabulka381114263238445056626874808692[[Tým]:[Body]],6,FALSE)+Tabulka591215273339455157636975818793[[#This Row],[ ]]</f>
        <v>#N/A</v>
      </c>
      <c r="AK4" s="39" t="e">
        <f>VLOOKUP(Tabulka591215273339455157636975818793[[#This Row],[Tým]],Tabulka5912152733394551576369758187[[Tým]:[Body]],2,FALSE)</f>
        <v>#N/A</v>
      </c>
      <c r="AL4" s="113" t="e">
        <f>Tabulka591215273339455157636975818793[[#This Row],[Umístění]]</f>
        <v>#N/A</v>
      </c>
      <c r="AM4" s="15"/>
      <c r="AP4" s="1"/>
    </row>
    <row r="5" spans="1:42" ht="24.95" customHeight="1" x14ac:dyDescent="0.4">
      <c r="B5" s="15"/>
      <c r="C5" s="1" t="str">
        <f>IF(Tabulka171013253137434955616773798591[[#This Row],[ ]]="","",IF(Tabulka171013253137434955616773798591[[#This Row],[ ]]="NEÚČAST","",IF(OR(Tabulka171013253137434955616773798591[Výsledný čas]="N",Tabulka171013253137434955616773798591[Výsledný čas]="D"),$L$4-$L$5,_xlfn.RANK.EQ(Tabulka171013253137434955616773798591[[#This Row],[ ]],Tabulka171013253137434955616773798591[[ ]],1))))</f>
        <v/>
      </c>
      <c r="D5" s="16"/>
      <c r="G5" s="9" t="str">
        <f>IF(OR(Tabulka171013253137434955616773798591[[#This Row],[LP]]="N",Tabulka171013253137434955616773798591[[#This Row],[PP]]="N"),"N",IF(OR(Tabulka171013253137434955616773798591[[#This Row],[LP]]="D",Tabulka171013253137434955616773798591[[#This Row],[PP]]="D"),"D",IF(OR(Tabulka171013253137434955616773798591[[#This Row],[LP]]="NEÚČAST",Tabulka171013253137434955616773798591[[#This Row],[PP]]="NEÚČAST"),"NEÚČAST",IF(OR(Tabulka171013253137434955616773798591[[#This Row],[LP]]="",Tabulka171013253137434955616773798591[[#This Row],[PP]]=""),"",MAX(Tabulka171013253137434955616773798591[[#This Row],[LP]:[PP]])))))</f>
        <v/>
      </c>
      <c r="H5" s="1">
        <f>COUNTIF(Tabulka171013253137434955616773798591[[#This Row],[Tým]],"*")</f>
        <v>0</v>
      </c>
      <c r="I5" s="1">
        <f>COUNTIF(Tabulka171013253137434955616773798591[[#This Row],[Výsledný čas]],"NEÚČAST")</f>
        <v>0</v>
      </c>
      <c r="J5" s="1" t="str">
        <f>IF(Tabulka171013253137434955616773798591[[#This Row],[Výsledný čas]]="N",998,IF(Tabulka171013253137434955616773798591[[#This Row],[Výsledný čas]]="D",998,IF(Tabulka171013253137434955616773798591[[#This Row],[Výsledný čas]]="","",Tabulka171013253137434955616773798591[[#This Row],[Výsledný čas]])))</f>
        <v/>
      </c>
      <c r="L5" s="1">
        <f>SUM(Tabulka171013253137434955616773798591[Sloupec2])</f>
        <v>0</v>
      </c>
      <c r="N5" s="30"/>
      <c r="O5" s="25" t="str">
        <f>IF(Tabulka1710136303642485460667278849096[[#This Row],[ ]]="","",IF(Tabulka1710136303642485460667278849096[[#This Row],[ ]]="NEÚČAST","",IF(OR(Tabulka1710136303642485460667278849096[Výsledný čas]="N",Tabulka1710136303642485460667278849096[Výsledný čas]="D"),$X$4-$X$5,_xlfn.RANK.EQ(Tabulka1710136303642485460667278849096[[#This Row],[ ]],Tabulka1710136303642485460667278849096[[ ]],1))))</f>
        <v/>
      </c>
      <c r="P5" s="26"/>
      <c r="Q5" s="5"/>
      <c r="R5" s="5"/>
      <c r="S5" s="25" t="str">
        <f>IF(OR(Tabulka1710136303642485460667278849096[[#This Row],[LP]]="N",Tabulka1710136303642485460667278849096[[#This Row],[PP]]="N"),"N",IF(OR(Tabulka1710136303642485460667278849096[[#This Row],[LP]]="D",Tabulka1710136303642485460667278849096[[#This Row],[PP]]="D"),"D",IF(OR(Tabulka1710136303642485460667278849096[[#This Row],[LP]]="NEÚČAST",Tabulka1710136303642485460667278849096[[#This Row],[PP]]="NEÚČAST"),"NEÚČAST",IF(OR(Tabulka1710136303642485460667278849096[[#This Row],[LP]]="",Tabulka1710136303642485460667278849096[[#This Row],[PP]]=""),"",MAX(Tabulka1710136303642485460667278849096[[#This Row],[LP]:[PP]])))))</f>
        <v/>
      </c>
      <c r="T5" s="46">
        <f>COUNTIF(Tabulka1710136303642485460667278849096[[#This Row],[Tým]],"*")</f>
        <v>0</v>
      </c>
      <c r="U5" s="46">
        <f>COUNTIF(Tabulka1710136303642485460667278849096[[#This Row],[Výsledný čas]],"NEÚČAST")</f>
        <v>0</v>
      </c>
      <c r="V5" s="29" t="str">
        <f>IF(Tabulka1710136303642485460667278849096[[#This Row],[Výsledný čas]]="N",998,IF(Tabulka1710136303642485460667278849096[[#This Row],[Výsledný čas]]="D",998,IF(Tabulka1710136303642485460667278849096[[#This Row],[Výsledný čas]]="","",Tabulka1710136303642485460667278849096[[#This Row],[Výsledný čas]])))</f>
        <v/>
      </c>
      <c r="X5" s="1">
        <f>SUM(Tabulka1710136303642485460667278849096[Sloupec2])</f>
        <v>0</v>
      </c>
      <c r="Y5" s="15"/>
      <c r="Z5" s="31" t="e">
        <f>IF(OR(Tabulka381114263238445056626874808692[Výsledný čas]="N",Tabulka381114263238445056626874808692[Výsledný čas]="D",Tabulka381114263238445056626874808692[Výsledný čas]="NEÚČAST"),Uvod!$E$4,_xlfn.RANK.EQ(Tabulka381114263238445056626874808692[[#This Row],[ ]],Tabulka381114263238445056626874808692[[ ]],1))</f>
        <v>#N/A</v>
      </c>
      <c r="AA5" s="27"/>
      <c r="AB5" s="44" t="e">
        <f>VLOOKUP(Tabulka381114263238445056626874808692[[#This Row],[Tým]],Tabulka171013253137434955616773798591[[Tým]:[ ]],2,FALSE)</f>
        <v>#N/A</v>
      </c>
      <c r="AC5" s="44" t="e">
        <f>VLOOKUP(Tabulka381114263238445056626874808692[[#This Row],[Tým]],Tabulka171013253137434955616773798591[[Tým]:[ ]],3,FALSE)</f>
        <v>#N/A</v>
      </c>
      <c r="AD5" s="25" t="e">
        <f>VLOOKUP(Tabulka381114263238445056626874808692[[#This Row],[Tým]],Tabulka171013253137434955616773798591[[Tým]:[ ]],4,FALSE)</f>
        <v>#N/A</v>
      </c>
      <c r="AE5" s="25" t="e">
        <f>VLOOKUP(Tabulka381114263238445056626874808692[[#This Row],[Tým]],Tabulka171013253137434955616773798591[[Tým]:[ ]],7,FALSE)</f>
        <v>#N/A</v>
      </c>
      <c r="AF5" s="29" t="e">
        <f>IF(Tabulka381114263238445056626874808692[[#This Row],[Výsledný čas]]="N",5,IF(Tabulka381114263238445056626874808692[[#This Row],[Výsledný čas]]="D",0,IF(Tabulka381114263238445056626874808692[[#This Row],[Výsledný čas]]="NEÚČAST",0,Tabulka4[[#Totals],[Týmy muži]]+6-Tabulka381114263238445056626874808692[[#This Row],[Umístění]])))</f>
        <v>#N/A</v>
      </c>
      <c r="AH5" s="31" t="e">
        <f>_xlfn.RANK.EQ(Tabulka591215273339455157636975818793[[#This Row],[Body]],Tabulka591215273339455157636975818793[Body],0)</f>
        <v>#N/A</v>
      </c>
      <c r="AI5" s="27"/>
      <c r="AJ5" s="25" t="e">
        <f>VLOOKUP(Tabulka591215273339455157636975818793[[#This Row],[Tým]],Tabulka381114263238445056626874808692[[Tým]:[Body]],6,FALSE)+Tabulka591215273339455157636975818793[[#This Row],[ ]]</f>
        <v>#N/A</v>
      </c>
      <c r="AK5" s="39" t="e">
        <f>VLOOKUP(Tabulka591215273339455157636975818793[[#This Row],[Tým]],Tabulka5912152733394551576369758187[[Tým]:[Body]],2,FALSE)</f>
        <v>#N/A</v>
      </c>
      <c r="AL5" s="82" t="e">
        <f>Tabulka591215273339455157636975818793[[#This Row],[Umístění]]</f>
        <v>#N/A</v>
      </c>
      <c r="AM5" s="15"/>
      <c r="AP5" s="1"/>
    </row>
    <row r="6" spans="1:42" ht="24.95" customHeight="1" x14ac:dyDescent="0.4">
      <c r="B6" s="15"/>
      <c r="C6" s="1" t="str">
        <f>IF(Tabulka171013253137434955616773798591[[#This Row],[ ]]="","",IF(Tabulka171013253137434955616773798591[[#This Row],[ ]]="NEÚČAST","",IF(OR(Tabulka171013253137434955616773798591[Výsledný čas]="N",Tabulka171013253137434955616773798591[Výsledný čas]="D"),$L$4-$L$5,_xlfn.RANK.EQ(Tabulka171013253137434955616773798591[[#This Row],[ ]],Tabulka171013253137434955616773798591[[ ]],1))))</f>
        <v/>
      </c>
      <c r="D6" s="16"/>
      <c r="G6" s="9" t="str">
        <f>IF(OR(Tabulka171013253137434955616773798591[[#This Row],[LP]]="N",Tabulka171013253137434955616773798591[[#This Row],[PP]]="N"),"N",IF(OR(Tabulka171013253137434955616773798591[[#This Row],[LP]]="D",Tabulka171013253137434955616773798591[[#This Row],[PP]]="D"),"D",IF(OR(Tabulka171013253137434955616773798591[[#This Row],[LP]]="NEÚČAST",Tabulka171013253137434955616773798591[[#This Row],[PP]]="NEÚČAST"),"NEÚČAST",IF(OR(Tabulka171013253137434955616773798591[[#This Row],[LP]]="",Tabulka171013253137434955616773798591[[#This Row],[PP]]=""),"",MAX(Tabulka171013253137434955616773798591[[#This Row],[LP]:[PP]])))))</f>
        <v/>
      </c>
      <c r="H6" s="1">
        <f>COUNTIF(Tabulka171013253137434955616773798591[[#This Row],[Tým]],"*")</f>
        <v>0</v>
      </c>
      <c r="I6" s="1">
        <f>COUNTIF(Tabulka171013253137434955616773798591[[#This Row],[Výsledný čas]],"NEÚČAST")</f>
        <v>0</v>
      </c>
      <c r="J6" s="1" t="str">
        <f>IF(Tabulka171013253137434955616773798591[[#This Row],[Výsledný čas]]="N",998,IF(Tabulka171013253137434955616773798591[[#This Row],[Výsledný čas]]="D",998,IF(Tabulka171013253137434955616773798591[[#This Row],[Výsledný čas]]="","",Tabulka171013253137434955616773798591[[#This Row],[Výsledný čas]])))</f>
        <v/>
      </c>
      <c r="N6" s="30"/>
      <c r="O6" s="25" t="str">
        <f>IF(Tabulka1710136303642485460667278849096[[#This Row],[ ]]="","",IF(Tabulka1710136303642485460667278849096[[#This Row],[ ]]="NEÚČAST","",IF(OR(Tabulka1710136303642485460667278849096[Výsledný čas]="N",Tabulka1710136303642485460667278849096[Výsledný čas]="D"),$X$4-$X$5,_xlfn.RANK.EQ(Tabulka1710136303642485460667278849096[[#This Row],[ ]],Tabulka1710136303642485460667278849096[[ ]],1))))</f>
        <v/>
      </c>
      <c r="P6" s="26"/>
      <c r="Q6" s="5"/>
      <c r="R6" s="5"/>
      <c r="S6" s="25" t="str">
        <f>IF(OR(Tabulka1710136303642485460667278849096[[#This Row],[LP]]="N",Tabulka1710136303642485460667278849096[[#This Row],[PP]]="N"),"N",IF(OR(Tabulka1710136303642485460667278849096[[#This Row],[LP]]="D",Tabulka1710136303642485460667278849096[[#This Row],[PP]]="D"),"D",IF(OR(Tabulka1710136303642485460667278849096[[#This Row],[LP]]="NEÚČAST",Tabulka1710136303642485460667278849096[[#This Row],[PP]]="NEÚČAST"),"NEÚČAST",IF(OR(Tabulka1710136303642485460667278849096[[#This Row],[LP]]="",Tabulka1710136303642485460667278849096[[#This Row],[PP]]=""),"",MAX(Tabulka1710136303642485460667278849096[[#This Row],[LP]:[PP]])))))</f>
        <v/>
      </c>
      <c r="T6" s="46">
        <f>COUNTIF(Tabulka1710136303642485460667278849096[[#This Row],[Tým]],"*")</f>
        <v>0</v>
      </c>
      <c r="U6" s="46">
        <f>COUNTIF(Tabulka1710136303642485460667278849096[[#This Row],[Výsledný čas]],"NEÚČAST")</f>
        <v>0</v>
      </c>
      <c r="V6" s="29" t="str">
        <f>IF(Tabulka1710136303642485460667278849096[[#This Row],[Výsledný čas]]="N",998,IF(Tabulka1710136303642485460667278849096[[#This Row],[Výsledný čas]]="D",998,IF(Tabulka1710136303642485460667278849096[[#This Row],[Výsledný čas]]="","",Tabulka1710136303642485460667278849096[[#This Row],[Výsledný čas]])))</f>
        <v/>
      </c>
      <c r="Y6" s="15"/>
      <c r="Z6" s="31" t="e">
        <f>IF(OR(Tabulka381114263238445056626874808692[Výsledný čas]="N",Tabulka381114263238445056626874808692[Výsledný čas]="D",Tabulka381114263238445056626874808692[Výsledný čas]="NEÚČAST"),Uvod!$E$4,_xlfn.RANK.EQ(Tabulka381114263238445056626874808692[[#This Row],[ ]],Tabulka381114263238445056626874808692[[ ]],1))</f>
        <v>#N/A</v>
      </c>
      <c r="AA6" s="27"/>
      <c r="AB6" s="44" t="e">
        <f>VLOOKUP(Tabulka381114263238445056626874808692[[#This Row],[Tým]],Tabulka171013253137434955616773798591[[Tým]:[ ]],2,FALSE)</f>
        <v>#N/A</v>
      </c>
      <c r="AC6" s="44" t="e">
        <f>VLOOKUP(Tabulka381114263238445056626874808692[[#This Row],[Tým]],Tabulka171013253137434955616773798591[[Tým]:[ ]],3,FALSE)</f>
        <v>#N/A</v>
      </c>
      <c r="AD6" s="25" t="e">
        <f>VLOOKUP(Tabulka381114263238445056626874808692[[#This Row],[Tým]],Tabulka171013253137434955616773798591[[Tým]:[ ]],4,FALSE)</f>
        <v>#N/A</v>
      </c>
      <c r="AE6" s="25" t="e">
        <f>VLOOKUP(Tabulka381114263238445056626874808692[[#This Row],[Tým]],Tabulka171013253137434955616773798591[[Tým]:[ ]],7,FALSE)</f>
        <v>#N/A</v>
      </c>
      <c r="AF6" s="29" t="e">
        <f>IF(Tabulka381114263238445056626874808692[[#This Row],[Výsledný čas]]="N",5,IF(Tabulka381114263238445056626874808692[[#This Row],[Výsledný čas]]="D",0,IF(Tabulka381114263238445056626874808692[[#This Row],[Výsledný čas]]="NEÚČAST",0,Tabulka4[[#Totals],[Týmy muži]]+6-Tabulka381114263238445056626874808692[[#This Row],[Umístění]])))</f>
        <v>#N/A</v>
      </c>
      <c r="AH6" s="31" t="e">
        <f>_xlfn.RANK.EQ(Tabulka591215273339455157636975818793[[#This Row],[Body]],Tabulka591215273339455157636975818793[Body],0)</f>
        <v>#N/A</v>
      </c>
      <c r="AI6" s="27"/>
      <c r="AJ6" s="25" t="e">
        <f>VLOOKUP(Tabulka591215273339455157636975818793[[#This Row],[Tým]],Tabulka381114263238445056626874808692[[Tým]:[Body]],6,FALSE)+Tabulka591215273339455157636975818793[[#This Row],[ ]]</f>
        <v>#N/A</v>
      </c>
      <c r="AK6" s="39" t="e">
        <f>VLOOKUP(Tabulka591215273339455157636975818793[[#This Row],[Tým]],Tabulka5912152733394551576369758187[[Tým]:[Body]],2,FALSE)</f>
        <v>#N/A</v>
      </c>
      <c r="AL6" s="82" t="e">
        <f>Tabulka591215273339455157636975818793[[#This Row],[Umístění]]</f>
        <v>#N/A</v>
      </c>
      <c r="AM6" s="15"/>
      <c r="AP6" s="1"/>
    </row>
    <row r="7" spans="1:42" ht="24.95" customHeight="1" x14ac:dyDescent="0.4">
      <c r="B7" s="15"/>
      <c r="C7" s="1" t="str">
        <f>IF(Tabulka171013253137434955616773798591[[#This Row],[ ]]="","",IF(Tabulka171013253137434955616773798591[[#This Row],[ ]]="NEÚČAST","",IF(OR(Tabulka171013253137434955616773798591[Výsledný čas]="N",Tabulka171013253137434955616773798591[Výsledný čas]="D"),$L$4-$L$5,_xlfn.RANK.EQ(Tabulka171013253137434955616773798591[[#This Row],[ ]],Tabulka171013253137434955616773798591[[ ]],1))))</f>
        <v/>
      </c>
      <c r="D7" s="16"/>
      <c r="G7" s="9" t="str">
        <f>IF(OR(Tabulka171013253137434955616773798591[[#This Row],[LP]]="N",Tabulka171013253137434955616773798591[[#This Row],[PP]]="N"),"N",IF(OR(Tabulka171013253137434955616773798591[[#This Row],[LP]]="D",Tabulka171013253137434955616773798591[[#This Row],[PP]]="D"),"D",IF(OR(Tabulka171013253137434955616773798591[[#This Row],[LP]]="NEÚČAST",Tabulka171013253137434955616773798591[[#This Row],[PP]]="NEÚČAST"),"NEÚČAST",IF(OR(Tabulka171013253137434955616773798591[[#This Row],[LP]]="",Tabulka171013253137434955616773798591[[#This Row],[PP]]=""),"",MAX(Tabulka171013253137434955616773798591[[#This Row],[LP]:[PP]])))))</f>
        <v/>
      </c>
      <c r="H7" s="1">
        <f>COUNTIF(Tabulka171013253137434955616773798591[[#This Row],[Tým]],"*")</f>
        <v>0</v>
      </c>
      <c r="I7" s="1">
        <f>COUNTIF(Tabulka171013253137434955616773798591[[#This Row],[Výsledný čas]],"NEÚČAST")</f>
        <v>0</v>
      </c>
      <c r="J7" s="1" t="str">
        <f>IF(Tabulka171013253137434955616773798591[[#This Row],[Výsledný čas]]="N",998,IF(Tabulka171013253137434955616773798591[[#This Row],[Výsledný čas]]="D",998,IF(Tabulka171013253137434955616773798591[[#This Row],[Výsledný čas]]="","",Tabulka171013253137434955616773798591[[#This Row],[Výsledný čas]])))</f>
        <v/>
      </c>
      <c r="N7" s="31"/>
      <c r="O7" s="25" t="str">
        <f>IF(Tabulka1710136303642485460667278849096[[#This Row],[ ]]="","",IF(Tabulka1710136303642485460667278849096[[#This Row],[ ]]="NEÚČAST","",IF(OR(Tabulka1710136303642485460667278849096[Výsledný čas]="N",Tabulka1710136303642485460667278849096[Výsledný čas]="D"),$X$4-$X$5,_xlfn.RANK.EQ(Tabulka1710136303642485460667278849096[[#This Row],[ ]],Tabulka1710136303642485460667278849096[[ ]],1))))</f>
        <v/>
      </c>
      <c r="P7" s="27"/>
      <c r="Q7" s="25"/>
      <c r="R7" s="25"/>
      <c r="S7" s="25" t="str">
        <f>IF(OR(Tabulka1710136303642485460667278849096[[#This Row],[LP]]="N",Tabulka1710136303642485460667278849096[[#This Row],[PP]]="N"),"N",IF(OR(Tabulka1710136303642485460667278849096[[#This Row],[LP]]="D",Tabulka1710136303642485460667278849096[[#This Row],[PP]]="D"),"D",IF(OR(Tabulka1710136303642485460667278849096[[#This Row],[LP]]="NEÚČAST",Tabulka1710136303642485460667278849096[[#This Row],[PP]]="NEÚČAST"),"NEÚČAST",IF(OR(Tabulka1710136303642485460667278849096[[#This Row],[LP]]="",Tabulka1710136303642485460667278849096[[#This Row],[PP]]=""),"",MAX(Tabulka1710136303642485460667278849096[[#This Row],[LP]:[PP]])))))</f>
        <v/>
      </c>
      <c r="T7" s="46">
        <f>COUNTIF(Tabulka1710136303642485460667278849096[[#This Row],[Tým]],"*")</f>
        <v>0</v>
      </c>
      <c r="U7" s="46">
        <f>COUNTIF(Tabulka1710136303642485460667278849096[[#This Row],[Výsledný čas]],"NEÚČAST")</f>
        <v>0</v>
      </c>
      <c r="V7" s="29" t="str">
        <f>IF(Tabulka1710136303642485460667278849096[[#This Row],[Výsledný čas]]="N",998,IF(Tabulka1710136303642485460667278849096[[#This Row],[Výsledný čas]]="D",998,IF(Tabulka1710136303642485460667278849096[[#This Row],[Výsledný čas]]="","",Tabulka1710136303642485460667278849096[[#This Row],[Výsledný čas]])))</f>
        <v/>
      </c>
      <c r="Y7" s="15"/>
      <c r="Z7" s="31" t="e">
        <f>IF(OR(Tabulka381114263238445056626874808692[Výsledný čas]="N",Tabulka381114263238445056626874808692[Výsledný čas]="D",Tabulka381114263238445056626874808692[Výsledný čas]="NEÚČAST"),Uvod!$E$4,_xlfn.RANK.EQ(Tabulka381114263238445056626874808692[[#This Row],[ ]],Tabulka381114263238445056626874808692[[ ]],1))</f>
        <v>#N/A</v>
      </c>
      <c r="AA7" s="27"/>
      <c r="AB7" s="44" t="e">
        <f>VLOOKUP(Tabulka381114263238445056626874808692[[#This Row],[Tým]],Tabulka171013253137434955616773798591[[Tým]:[ ]],2,FALSE)</f>
        <v>#N/A</v>
      </c>
      <c r="AC7" s="44" t="e">
        <f>VLOOKUP(Tabulka381114263238445056626874808692[[#This Row],[Tým]],Tabulka171013253137434955616773798591[[Tým]:[ ]],3,FALSE)</f>
        <v>#N/A</v>
      </c>
      <c r="AD7" s="25" t="e">
        <f>VLOOKUP(Tabulka381114263238445056626874808692[[#This Row],[Tým]],Tabulka171013253137434955616773798591[[Tým]:[ ]],4,FALSE)</f>
        <v>#N/A</v>
      </c>
      <c r="AE7" s="25" t="e">
        <f>VLOOKUP(Tabulka381114263238445056626874808692[[#This Row],[Tým]],Tabulka171013253137434955616773798591[[Tým]:[ ]],7,FALSE)</f>
        <v>#N/A</v>
      </c>
      <c r="AF7" s="29" t="e">
        <f>IF(Tabulka381114263238445056626874808692[[#This Row],[Výsledný čas]]="N",5,IF(Tabulka381114263238445056626874808692[[#This Row],[Výsledný čas]]="D",0,IF(Tabulka381114263238445056626874808692[[#This Row],[Výsledný čas]]="NEÚČAST",0,Tabulka4[[#Totals],[Týmy muži]]+6-Tabulka381114263238445056626874808692[[#This Row],[Umístění]])))</f>
        <v>#N/A</v>
      </c>
      <c r="AH7" s="31" t="e">
        <f>_xlfn.RANK.EQ(Tabulka591215273339455157636975818793[[#This Row],[Body]],Tabulka591215273339455157636975818793[Body],0)</f>
        <v>#N/A</v>
      </c>
      <c r="AI7" s="27"/>
      <c r="AJ7" s="25" t="e">
        <f>VLOOKUP(Tabulka591215273339455157636975818793[[#This Row],[Tým]],Tabulka381114263238445056626874808692[[Tým]:[Body]],6,FALSE)+Tabulka591215273339455157636975818793[[#This Row],[ ]]</f>
        <v>#N/A</v>
      </c>
      <c r="AK7" s="39" t="e">
        <f>VLOOKUP(Tabulka591215273339455157636975818793[[#This Row],[Tým]],Tabulka5912152733394551576369758187[[Tým]:[Body]],2,FALSE)</f>
        <v>#N/A</v>
      </c>
      <c r="AL7" s="82" t="e">
        <f>Tabulka591215273339455157636975818793[[#This Row],[Umístění]]</f>
        <v>#N/A</v>
      </c>
      <c r="AM7" s="15"/>
      <c r="AP7" s="1"/>
    </row>
    <row r="8" spans="1:42" ht="24.95" customHeight="1" x14ac:dyDescent="0.4">
      <c r="B8" s="15"/>
      <c r="C8" s="1" t="str">
        <f>IF(Tabulka171013253137434955616773798591[[#This Row],[ ]]="","",IF(Tabulka171013253137434955616773798591[[#This Row],[ ]]="NEÚČAST","",IF(OR(Tabulka171013253137434955616773798591[Výsledný čas]="N",Tabulka171013253137434955616773798591[Výsledný čas]="D"),$L$4-$L$5,_xlfn.RANK.EQ(Tabulka171013253137434955616773798591[[#This Row],[ ]],Tabulka171013253137434955616773798591[[ ]],1))))</f>
        <v/>
      </c>
      <c r="D8" s="16"/>
      <c r="G8" s="9" t="str">
        <f>IF(OR(Tabulka171013253137434955616773798591[[#This Row],[LP]]="N",Tabulka171013253137434955616773798591[[#This Row],[PP]]="N"),"N",IF(OR(Tabulka171013253137434955616773798591[[#This Row],[LP]]="D",Tabulka171013253137434955616773798591[[#This Row],[PP]]="D"),"D",IF(OR(Tabulka171013253137434955616773798591[[#This Row],[LP]]="NEÚČAST",Tabulka171013253137434955616773798591[[#This Row],[PP]]="NEÚČAST"),"NEÚČAST",IF(OR(Tabulka171013253137434955616773798591[[#This Row],[LP]]="",Tabulka171013253137434955616773798591[[#This Row],[PP]]=""),"",MAX(Tabulka171013253137434955616773798591[[#This Row],[LP]:[PP]])))))</f>
        <v/>
      </c>
      <c r="H8" s="1">
        <f>COUNTIF(Tabulka171013253137434955616773798591[[#This Row],[Tým]],"*")</f>
        <v>0</v>
      </c>
      <c r="I8" s="1">
        <f>COUNTIF(Tabulka171013253137434955616773798591[[#This Row],[Výsledný čas]],"NEÚČAST")</f>
        <v>0</v>
      </c>
      <c r="J8" s="1" t="str">
        <f>IF(Tabulka171013253137434955616773798591[[#This Row],[Výsledný čas]]="N",998,IF(Tabulka171013253137434955616773798591[[#This Row],[Výsledný čas]]="D",998,IF(Tabulka171013253137434955616773798591[[#This Row],[Výsledný čas]]="","",Tabulka171013253137434955616773798591[[#This Row],[Výsledný čas]])))</f>
        <v/>
      </c>
      <c r="N8" s="31"/>
      <c r="O8" s="25" t="str">
        <f>IF(Tabulka1710136303642485460667278849096[[#This Row],[ ]]="","",IF(Tabulka1710136303642485460667278849096[[#This Row],[ ]]="NEÚČAST","",IF(OR(Tabulka1710136303642485460667278849096[Výsledný čas]="N",Tabulka1710136303642485460667278849096[Výsledný čas]="D"),$X$4-$X$5,_xlfn.RANK.EQ(Tabulka1710136303642485460667278849096[[#This Row],[ ]],Tabulka1710136303642485460667278849096[[ ]],1))))</f>
        <v/>
      </c>
      <c r="P8" s="27"/>
      <c r="Q8" s="25"/>
      <c r="R8" s="25"/>
      <c r="S8" s="25" t="str">
        <f>IF(OR(Tabulka1710136303642485460667278849096[[#This Row],[LP]]="N",Tabulka1710136303642485460667278849096[[#This Row],[PP]]="N"),"N",IF(OR(Tabulka1710136303642485460667278849096[[#This Row],[LP]]="D",Tabulka1710136303642485460667278849096[[#This Row],[PP]]="D"),"D",IF(OR(Tabulka1710136303642485460667278849096[[#This Row],[LP]]="NEÚČAST",Tabulka1710136303642485460667278849096[[#This Row],[PP]]="NEÚČAST"),"NEÚČAST",IF(OR(Tabulka1710136303642485460667278849096[[#This Row],[LP]]="",Tabulka1710136303642485460667278849096[[#This Row],[PP]]=""),"",MAX(Tabulka1710136303642485460667278849096[[#This Row],[LP]:[PP]])))))</f>
        <v/>
      </c>
      <c r="T8" s="46">
        <f>COUNTIF(Tabulka1710136303642485460667278849096[[#This Row],[Tým]],"*")</f>
        <v>0</v>
      </c>
      <c r="U8" s="46">
        <f>COUNTIF(Tabulka1710136303642485460667278849096[[#This Row],[Výsledný čas]],"NEÚČAST")</f>
        <v>0</v>
      </c>
      <c r="V8" s="29" t="str">
        <f>IF(Tabulka1710136303642485460667278849096[[#This Row],[Výsledný čas]]="N",998,IF(Tabulka1710136303642485460667278849096[[#This Row],[Výsledný čas]]="D",998,IF(Tabulka1710136303642485460667278849096[[#This Row],[Výsledný čas]]="","",Tabulka1710136303642485460667278849096[[#This Row],[Výsledný čas]])))</f>
        <v/>
      </c>
      <c r="Y8" s="15"/>
      <c r="Z8" s="31" t="e">
        <f>IF(OR(Tabulka381114263238445056626874808692[Výsledný čas]="N",Tabulka381114263238445056626874808692[Výsledný čas]="D",Tabulka381114263238445056626874808692[Výsledný čas]="NEÚČAST"),Uvod!$E$4,_xlfn.RANK.EQ(Tabulka381114263238445056626874808692[[#This Row],[ ]],Tabulka381114263238445056626874808692[[ ]],1))</f>
        <v>#N/A</v>
      </c>
      <c r="AA8" s="27"/>
      <c r="AB8" s="44" t="e">
        <f>VLOOKUP(Tabulka381114263238445056626874808692[[#This Row],[Tým]],Tabulka171013253137434955616773798591[[Tým]:[ ]],2,FALSE)</f>
        <v>#N/A</v>
      </c>
      <c r="AC8" s="44" t="e">
        <f>VLOOKUP(Tabulka381114263238445056626874808692[[#This Row],[Tým]],Tabulka171013253137434955616773798591[[Tým]:[ ]],3,FALSE)</f>
        <v>#N/A</v>
      </c>
      <c r="AD8" s="25" t="e">
        <f>VLOOKUP(Tabulka381114263238445056626874808692[[#This Row],[Tým]],Tabulka171013253137434955616773798591[[Tým]:[ ]],4,FALSE)</f>
        <v>#N/A</v>
      </c>
      <c r="AE8" s="25" t="e">
        <f>VLOOKUP(Tabulka381114263238445056626874808692[[#This Row],[Tým]],Tabulka171013253137434955616773798591[[Tým]:[ ]],7,FALSE)</f>
        <v>#N/A</v>
      </c>
      <c r="AF8" s="29" t="e">
        <f>IF(Tabulka381114263238445056626874808692[[#This Row],[Výsledný čas]]="N",5,IF(Tabulka381114263238445056626874808692[[#This Row],[Výsledný čas]]="D",0,IF(Tabulka381114263238445056626874808692[[#This Row],[Výsledný čas]]="NEÚČAST",0,Tabulka4[[#Totals],[Týmy muži]]+6-Tabulka381114263238445056626874808692[[#This Row],[Umístění]])))</f>
        <v>#N/A</v>
      </c>
      <c r="AH8" s="31" t="e">
        <f>_xlfn.RANK.EQ(Tabulka591215273339455157636975818793[[#This Row],[Body]],Tabulka591215273339455157636975818793[Body],0)</f>
        <v>#N/A</v>
      </c>
      <c r="AI8" s="27"/>
      <c r="AJ8" s="25" t="e">
        <f>VLOOKUP(Tabulka591215273339455157636975818793[[#This Row],[Tým]],Tabulka381114263238445056626874808692[[Tým]:[Body]],6,FALSE)+Tabulka591215273339455157636975818793[[#This Row],[ ]]</f>
        <v>#N/A</v>
      </c>
      <c r="AK8" s="39" t="e">
        <f>VLOOKUP(Tabulka591215273339455157636975818793[[#This Row],[Tým]],Tabulka5912152733394551576369758187[[Tým]:[Body]],2,FALSE)</f>
        <v>#N/A</v>
      </c>
      <c r="AL8" s="82" t="e">
        <f>Tabulka591215273339455157636975818793[[#This Row],[Umístění]]</f>
        <v>#N/A</v>
      </c>
      <c r="AM8" s="15"/>
      <c r="AP8" s="1"/>
    </row>
    <row r="9" spans="1:42" ht="24.95" customHeight="1" thickBot="1" x14ac:dyDescent="0.45">
      <c r="B9" s="15"/>
      <c r="C9" s="1" t="str">
        <f>IF(Tabulka171013253137434955616773798591[[#This Row],[ ]]="","",IF(Tabulka171013253137434955616773798591[[#This Row],[ ]]="NEÚČAST","",IF(OR(Tabulka171013253137434955616773798591[Výsledný čas]="N",Tabulka171013253137434955616773798591[Výsledný čas]="D"),$L$4-$L$5,_xlfn.RANK.EQ(Tabulka171013253137434955616773798591[[#This Row],[ ]],Tabulka171013253137434955616773798591[[ ]],1))))</f>
        <v/>
      </c>
      <c r="D9" s="16"/>
      <c r="G9" s="9" t="str">
        <f>IF(OR(Tabulka171013253137434955616773798591[[#This Row],[LP]]="N",Tabulka171013253137434955616773798591[[#This Row],[PP]]="N"),"N",IF(OR(Tabulka171013253137434955616773798591[[#This Row],[LP]]="D",Tabulka171013253137434955616773798591[[#This Row],[PP]]="D"),"D",IF(OR(Tabulka171013253137434955616773798591[[#This Row],[LP]]="NEÚČAST",Tabulka171013253137434955616773798591[[#This Row],[PP]]="NEÚČAST"),"NEÚČAST",IF(OR(Tabulka171013253137434955616773798591[[#This Row],[LP]]="",Tabulka171013253137434955616773798591[[#This Row],[PP]]=""),"",MAX(Tabulka171013253137434955616773798591[[#This Row],[LP]:[PP]])))))</f>
        <v/>
      </c>
      <c r="H9" s="1">
        <f>COUNTIF(Tabulka171013253137434955616773798591[[#This Row],[Tým]],"*")</f>
        <v>0</v>
      </c>
      <c r="I9" s="1">
        <f>COUNTIF(Tabulka171013253137434955616773798591[[#This Row],[Výsledný čas]],"NEÚČAST")</f>
        <v>0</v>
      </c>
      <c r="J9" s="1" t="str">
        <f>IF(Tabulka171013253137434955616773798591[[#This Row],[Výsledný čas]]="N",998,IF(Tabulka171013253137434955616773798591[[#This Row],[Výsledný čas]]="D",998,IF(Tabulka171013253137434955616773798591[[#This Row],[Výsledný čas]]="","",Tabulka171013253137434955616773798591[[#This Row],[Výsledný čas]])))</f>
        <v/>
      </c>
      <c r="N9" s="33"/>
      <c r="O9" s="34" t="str">
        <f>IF(Tabulka1710136303642485460667278849096[[#This Row],[ ]]="","",IF(Tabulka1710136303642485460667278849096[[#This Row],[ ]]="NEÚČAST","",IF(OR(Tabulka1710136303642485460667278849096[Výsledný čas]="N",Tabulka1710136303642485460667278849096[Výsledný čas]="D"),$X$4-$X$5,_xlfn.RANK.EQ(Tabulka1710136303642485460667278849096[[#This Row],[ ]],Tabulka1710136303642485460667278849096[[ ]],1))))</f>
        <v/>
      </c>
      <c r="P9" s="35"/>
      <c r="Q9" s="34"/>
      <c r="R9" s="34"/>
      <c r="S9" s="60" t="str">
        <f>IF(OR(Tabulka1710136303642485460667278849096[[#This Row],[LP]]="N",Tabulka1710136303642485460667278849096[[#This Row],[PP]]="N"),"N",IF(OR(Tabulka1710136303642485460667278849096[[#This Row],[LP]]="D",Tabulka1710136303642485460667278849096[[#This Row],[PP]]="D"),"D",IF(OR(Tabulka1710136303642485460667278849096[[#This Row],[LP]]="NEÚČAST",Tabulka1710136303642485460667278849096[[#This Row],[PP]]="NEÚČAST"),"NEÚČAST",IF(OR(Tabulka1710136303642485460667278849096[[#This Row],[LP]]="",Tabulka1710136303642485460667278849096[[#This Row],[PP]]=""),"",MAX(Tabulka1710136303642485460667278849096[[#This Row],[LP]:[PP]])))))</f>
        <v/>
      </c>
      <c r="T9" s="99">
        <f>COUNTIF(Tabulka1710136303642485460667278849096[[#This Row],[Tým]],"*")</f>
        <v>0</v>
      </c>
      <c r="U9" s="99">
        <f>COUNTIF(Tabulka1710136303642485460667278849096[[#This Row],[Výsledný čas]],"NEÚČAST")</f>
        <v>0</v>
      </c>
      <c r="V9" s="99" t="str">
        <f>IF(Tabulka1710136303642485460667278849096[[#This Row],[Výsledný čas]]="N",998,IF(Tabulka1710136303642485460667278849096[[#This Row],[Výsledný čas]]="D",998,IF(Tabulka1710136303642485460667278849096[[#This Row],[Výsledný čas]]="","",Tabulka1710136303642485460667278849096[[#This Row],[Výsledný čas]])))</f>
        <v/>
      </c>
      <c r="Y9" s="15"/>
      <c r="Z9" s="31" t="e">
        <f>IF(OR(Tabulka381114263238445056626874808692[Výsledný čas]="N",Tabulka381114263238445056626874808692[Výsledný čas]="D",Tabulka381114263238445056626874808692[Výsledný čas]="NEÚČAST"),Uvod!$E$4,_xlfn.RANK.EQ(Tabulka381114263238445056626874808692[[#This Row],[ ]],Tabulka381114263238445056626874808692[[ ]],1))</f>
        <v>#N/A</v>
      </c>
      <c r="AA9" s="27"/>
      <c r="AB9" s="44" t="e">
        <f>VLOOKUP(Tabulka381114263238445056626874808692[[#This Row],[Tým]],Tabulka171013253137434955616773798591[[Tým]:[ ]],2,FALSE)</f>
        <v>#N/A</v>
      </c>
      <c r="AC9" s="44" t="e">
        <f>VLOOKUP(Tabulka381114263238445056626874808692[[#This Row],[Tým]],Tabulka171013253137434955616773798591[[Tým]:[ ]],3,FALSE)</f>
        <v>#N/A</v>
      </c>
      <c r="AD9" s="25" t="e">
        <f>VLOOKUP(Tabulka381114263238445056626874808692[[#This Row],[Tým]],Tabulka171013253137434955616773798591[[Tým]:[ ]],4,FALSE)</f>
        <v>#N/A</v>
      </c>
      <c r="AE9" s="25" t="e">
        <f>VLOOKUP(Tabulka381114263238445056626874808692[[#This Row],[Tým]],Tabulka171013253137434955616773798591[[Tým]:[ ]],7,FALSE)</f>
        <v>#N/A</v>
      </c>
      <c r="AF9" s="29" t="e">
        <f>IF(Tabulka381114263238445056626874808692[[#This Row],[Výsledný čas]]="N",5,IF(Tabulka381114263238445056626874808692[[#This Row],[Výsledný čas]]="D",0,IF(Tabulka381114263238445056626874808692[[#This Row],[Výsledný čas]]="NEÚČAST",0,Tabulka4[[#Totals],[Týmy muži]]+6-Tabulka381114263238445056626874808692[[#This Row],[Umístění]])))</f>
        <v>#N/A</v>
      </c>
      <c r="AH9" s="31" t="e">
        <f>_xlfn.RANK.EQ(Tabulka591215273339455157636975818793[[#This Row],[Body]],Tabulka591215273339455157636975818793[Body],0)</f>
        <v>#N/A</v>
      </c>
      <c r="AI9" s="27"/>
      <c r="AJ9" s="25" t="e">
        <f>VLOOKUP(Tabulka591215273339455157636975818793[[#This Row],[Tým]],Tabulka381114263238445056626874808692[[Tým]:[Body]],6,FALSE)+Tabulka591215273339455157636975818793[[#This Row],[ ]]</f>
        <v>#N/A</v>
      </c>
      <c r="AK9" s="39" t="e">
        <f>VLOOKUP(Tabulka591215273339455157636975818793[[#This Row],[Tým]],Tabulka5912152733394551576369758187[[Tým]:[Body]],2,FALSE)</f>
        <v>#N/A</v>
      </c>
      <c r="AL9" s="82" t="e">
        <f>Tabulka591215273339455157636975818793[[#This Row],[Umístění]]</f>
        <v>#N/A</v>
      </c>
      <c r="AM9" s="15"/>
      <c r="AP9" s="1"/>
    </row>
    <row r="10" spans="1:42" ht="24.95" customHeight="1" thickBot="1" x14ac:dyDescent="0.45">
      <c r="B10" s="17"/>
      <c r="C10" s="18" t="str">
        <f>IF(Tabulka171013253137434955616773798591[[#This Row],[ ]]="","",IF(Tabulka171013253137434955616773798591[[#This Row],[ ]]="NEÚČAST","",IF(OR(Tabulka171013253137434955616773798591[Výsledný čas]="N",Tabulka171013253137434955616773798591[Výsledný čas]="D"),$L$4-$L$5,_xlfn.RANK.EQ(Tabulka171013253137434955616773798591[[#This Row],[ ]],Tabulka171013253137434955616773798591[[ ]],1))))</f>
        <v/>
      </c>
      <c r="D10" s="19"/>
      <c r="E10" s="18"/>
      <c r="F10" s="18"/>
      <c r="G10" s="20" t="str">
        <f>IF(OR(Tabulka171013253137434955616773798591[[#This Row],[LP]]="N",Tabulka171013253137434955616773798591[[#This Row],[PP]]="N"),"N",IF(OR(Tabulka171013253137434955616773798591[[#This Row],[LP]]="D",Tabulka171013253137434955616773798591[[#This Row],[PP]]="D"),"D",IF(OR(Tabulka171013253137434955616773798591[[#This Row],[LP]]="NEÚČAST",Tabulka171013253137434955616773798591[[#This Row],[PP]]="NEÚČAST"),"NEÚČAST",IF(OR(Tabulka171013253137434955616773798591[[#This Row],[LP]]="",Tabulka171013253137434955616773798591[[#This Row],[PP]]=""),"",MAX(Tabulka171013253137434955616773798591[[#This Row],[LP]:[PP]])))))</f>
        <v/>
      </c>
      <c r="H10" s="1">
        <f>COUNTIF(Tabulka171013253137434955616773798591[[#This Row],[Tým]],"*")</f>
        <v>0</v>
      </c>
      <c r="I10" s="1">
        <f>COUNTIF(Tabulka171013253137434955616773798591[[#This Row],[Výsledný čas]],"NEÚČAST")</f>
        <v>0</v>
      </c>
      <c r="J10" s="1" t="str">
        <f>IF(Tabulka171013253137434955616773798591[[#This Row],[Výsledný čas]]="N",998,IF(Tabulka171013253137434955616773798591[[#This Row],[Výsledný čas]]="D",998,IF(Tabulka171013253137434955616773798591[[#This Row],[Výsledný čas]]="","",Tabulka171013253137434955616773798591[[#This Row],[Výsledný čas]])))</f>
        <v/>
      </c>
      <c r="Z10" s="63" t="e">
        <f>IF(OR(Tabulka381114263238445056626874808692[Výsledný čas]="N",Tabulka381114263238445056626874808692[Výsledný čas]="D",Tabulka381114263238445056626874808692[Výsledný čas]="NEÚČAST"),Uvod!$E$4,_xlfn.RANK.EQ(Tabulka381114263238445056626874808692[[#This Row],[ ]],Tabulka381114263238445056626874808692[[ ]],1))</f>
        <v>#N/A</v>
      </c>
      <c r="AA10" s="27"/>
      <c r="AB10" s="44" t="e">
        <f>VLOOKUP(Tabulka381114263238445056626874808692[[#This Row],[Tým]],Tabulka171013253137434955616773798591[[Tým]:[ ]],2,FALSE)</f>
        <v>#N/A</v>
      </c>
      <c r="AC10" s="44" t="e">
        <f>VLOOKUP(Tabulka381114263238445056626874808692[[#This Row],[Tým]],Tabulka171013253137434955616773798591[[Tým]:[ ]],3,FALSE)</f>
        <v>#N/A</v>
      </c>
      <c r="AD10" s="25" t="e">
        <f>VLOOKUP(Tabulka381114263238445056626874808692[[#This Row],[Tým]],Tabulka171013253137434955616773798591[[Tým]:[ ]],4,FALSE)</f>
        <v>#N/A</v>
      </c>
      <c r="AE10" s="25" t="e">
        <f>VLOOKUP(Tabulka381114263238445056626874808692[[#This Row],[Tým]],Tabulka171013253137434955616773798591[[Tým]:[ ]],7,FALSE)</f>
        <v>#N/A</v>
      </c>
      <c r="AF10" s="29" t="e">
        <f>IF(Tabulka381114263238445056626874808692[[#This Row],[Výsledný čas]]="N",5,IF(Tabulka381114263238445056626874808692[[#This Row],[Výsledný čas]]="D",0,IF(Tabulka381114263238445056626874808692[[#This Row],[Výsledný čas]]="NEÚČAST",0,Tabulka4[[#Totals],[Týmy muži]]+6-Tabulka381114263238445056626874808692[[#This Row],[Umístění]])))</f>
        <v>#N/A</v>
      </c>
      <c r="AH10" s="31" t="e">
        <f>_xlfn.RANK.EQ(Tabulka591215273339455157636975818793[[#This Row],[Body]],Tabulka591215273339455157636975818793[Body],0)</f>
        <v>#N/A</v>
      </c>
      <c r="AI10" s="27"/>
      <c r="AJ10" s="25" t="e">
        <f>VLOOKUP(Tabulka591215273339455157636975818793[[#This Row],[Tým]],Tabulka381114263238445056626874808692[[Tým]:[Body]],6,FALSE)+Tabulka591215273339455157636975818793[[#This Row],[ ]]</f>
        <v>#N/A</v>
      </c>
      <c r="AK10" s="39" t="e">
        <f>VLOOKUP(Tabulka591215273339455157636975818793[[#This Row],[Tým]],Tabulka5912152733394551576369758187[[Tým]:[Body]],2,FALSE)</f>
        <v>#N/A</v>
      </c>
      <c r="AL10" s="82" t="e">
        <f>Tabulka591215273339455157636975818793[[#This Row],[Umístění]]</f>
        <v>#N/A</v>
      </c>
      <c r="AM10" s="15"/>
      <c r="AP10" s="1"/>
    </row>
    <row r="11" spans="1:42" ht="24.95" customHeight="1" x14ac:dyDescent="0.4">
      <c r="Z11" s="63" t="e">
        <f>IF(OR(Tabulka381114263238445056626874808692[Výsledný čas]="N",Tabulka381114263238445056626874808692[Výsledný čas]="D",Tabulka381114263238445056626874808692[Výsledný čas]="NEÚČAST"),Uvod!$E$4,_xlfn.RANK.EQ(Tabulka381114263238445056626874808692[[#This Row],[ ]],Tabulka381114263238445056626874808692[[ ]],1))</f>
        <v>#N/A</v>
      </c>
      <c r="AA11" s="27"/>
      <c r="AB11" s="44" t="e">
        <f>VLOOKUP(Tabulka381114263238445056626874808692[[#This Row],[Tým]],Tabulka171013253137434955616773798591[[Tým]:[ ]],2,FALSE)</f>
        <v>#N/A</v>
      </c>
      <c r="AC11" s="44" t="e">
        <f>VLOOKUP(Tabulka381114263238445056626874808692[[#This Row],[Tým]],Tabulka171013253137434955616773798591[[Tým]:[ ]],3,FALSE)</f>
        <v>#N/A</v>
      </c>
      <c r="AD11" s="25" t="e">
        <f>VLOOKUP(Tabulka381114263238445056626874808692[[#This Row],[Tým]],Tabulka171013253137434955616773798591[[Tým]:[ ]],4,FALSE)</f>
        <v>#N/A</v>
      </c>
      <c r="AE11" s="25" t="e">
        <f>VLOOKUP(Tabulka381114263238445056626874808692[[#This Row],[Tým]],Tabulka171013253137434955616773798591[[Tým]:[ ]],7,FALSE)</f>
        <v>#N/A</v>
      </c>
      <c r="AF11" s="29" t="e">
        <f>IF(Tabulka381114263238445056626874808692[[#This Row],[Výsledný čas]]="N",5,IF(Tabulka381114263238445056626874808692[[#This Row],[Výsledný čas]]="D",0,IF(Tabulka381114263238445056626874808692[[#This Row],[Výsledný čas]]="NEÚČAST",0,Tabulka4[[#Totals],[Týmy muži]]+6-Tabulka381114263238445056626874808692[[#This Row],[Umístění]])))</f>
        <v>#N/A</v>
      </c>
      <c r="AH11" s="31" t="e">
        <f>_xlfn.RANK.EQ(Tabulka591215273339455157636975818793[[#This Row],[Body]],Tabulka591215273339455157636975818793[Body],0)</f>
        <v>#N/A</v>
      </c>
      <c r="AI11" s="27"/>
      <c r="AJ11" s="25" t="e">
        <f>VLOOKUP(Tabulka591215273339455157636975818793[[#This Row],[Tým]],Tabulka381114263238445056626874808692[[Tým]:[Body]],6,FALSE)+Tabulka591215273339455157636975818793[[#This Row],[ ]]</f>
        <v>#N/A</v>
      </c>
      <c r="AK11" s="39" t="e">
        <f>VLOOKUP(Tabulka591215273339455157636975818793[[#This Row],[Tým]],Tabulka5912152733394551576369758187[[Tým]:[Body]],2,FALSE)</f>
        <v>#N/A</v>
      </c>
      <c r="AL11" s="82" t="e">
        <f>Tabulka591215273339455157636975818793[[#This Row],[Umístění]]</f>
        <v>#N/A</v>
      </c>
      <c r="AM11" s="15"/>
      <c r="AP11" s="1"/>
    </row>
    <row r="12" spans="1:42" ht="24.95" customHeight="1" x14ac:dyDescent="0.4">
      <c r="Z12" s="63" t="e">
        <f>IF(OR(Tabulka381114263238445056626874808692[Výsledný čas]="N",Tabulka381114263238445056626874808692[Výsledný čas]="D",Tabulka381114263238445056626874808692[Výsledný čas]="NEÚČAST"),Uvod!$E$4,_xlfn.RANK.EQ(Tabulka381114263238445056626874808692[[#This Row],[ ]],Tabulka381114263238445056626874808692[[ ]],1))</f>
        <v>#N/A</v>
      </c>
      <c r="AA12" s="27"/>
      <c r="AB12" s="44" t="e">
        <f>VLOOKUP(Tabulka381114263238445056626874808692[[#This Row],[Tým]],Tabulka171013253137434955616773798591[[Tým]:[ ]],2,FALSE)</f>
        <v>#N/A</v>
      </c>
      <c r="AC12" s="44" t="e">
        <f>VLOOKUP(Tabulka381114263238445056626874808692[[#This Row],[Tým]],Tabulka171013253137434955616773798591[[Tým]:[ ]],3,FALSE)</f>
        <v>#N/A</v>
      </c>
      <c r="AD12" s="25" t="e">
        <f>VLOOKUP(Tabulka381114263238445056626874808692[[#This Row],[Tým]],Tabulka171013253137434955616773798591[[Tým]:[ ]],4,FALSE)</f>
        <v>#N/A</v>
      </c>
      <c r="AE12" s="25" t="e">
        <f>VLOOKUP(Tabulka381114263238445056626874808692[[#This Row],[Tým]],Tabulka171013253137434955616773798591[[Tým]:[ ]],7,FALSE)</f>
        <v>#N/A</v>
      </c>
      <c r="AF12" s="29" t="e">
        <f>IF(Tabulka381114263238445056626874808692[[#This Row],[Výsledný čas]]="N",5,IF(Tabulka381114263238445056626874808692[[#This Row],[Výsledný čas]]="D",0,IF(Tabulka381114263238445056626874808692[[#This Row],[Výsledný čas]]="NEÚČAST",0,Tabulka4[[#Totals],[Týmy muži]]+6-Tabulka381114263238445056626874808692[[#This Row],[Umístění]])))</f>
        <v>#N/A</v>
      </c>
      <c r="AH12" s="31" t="e">
        <f>_xlfn.RANK.EQ(Tabulka591215273339455157636975818793[[#This Row],[Body]],Tabulka591215273339455157636975818793[Body],0)</f>
        <v>#N/A</v>
      </c>
      <c r="AI12" s="27"/>
      <c r="AJ12" s="25" t="e">
        <f>VLOOKUP(Tabulka591215273339455157636975818793[[#This Row],[Tým]],Tabulka381114263238445056626874808692[[Tým]:[Body]],6,FALSE)+Tabulka591215273339455157636975818793[[#This Row],[ ]]</f>
        <v>#N/A</v>
      </c>
      <c r="AK12" s="39" t="e">
        <f>VLOOKUP(Tabulka591215273339455157636975818793[[#This Row],[Tým]],Tabulka5912152733394551576369758187[[Tým]:[Body]],2,FALSE)</f>
        <v>#N/A</v>
      </c>
      <c r="AL12" s="82" t="e">
        <f>Tabulka591215273339455157636975818793[[#This Row],[Umístění]]</f>
        <v>#N/A</v>
      </c>
      <c r="AM12" s="15"/>
      <c r="AP12" s="1"/>
    </row>
    <row r="13" spans="1:42" ht="24.95" customHeight="1" x14ac:dyDescent="0.4">
      <c r="Z13" s="63" t="e">
        <f>IF(OR(Tabulka381114263238445056626874808692[Výsledný čas]="N",Tabulka381114263238445056626874808692[Výsledný čas]="D",Tabulka381114263238445056626874808692[Výsledný čas]="NEÚČAST"),Uvod!$E$4,_xlfn.RANK.EQ(Tabulka381114263238445056626874808692[[#This Row],[ ]],Tabulka381114263238445056626874808692[[ ]],1))</f>
        <v>#N/A</v>
      </c>
      <c r="AA13" s="27"/>
      <c r="AB13" s="44" t="e">
        <f>VLOOKUP(Tabulka381114263238445056626874808692[[#This Row],[Tým]],Tabulka171013253137434955616773798591[[Tým]:[ ]],2,FALSE)</f>
        <v>#N/A</v>
      </c>
      <c r="AC13" s="44" t="e">
        <f>VLOOKUP(Tabulka381114263238445056626874808692[[#This Row],[Tým]],Tabulka171013253137434955616773798591[[Tým]:[ ]],3,FALSE)</f>
        <v>#N/A</v>
      </c>
      <c r="AD13" s="25" t="e">
        <f>VLOOKUP(Tabulka381114263238445056626874808692[[#This Row],[Tým]],Tabulka171013253137434955616773798591[[Tým]:[ ]],4,FALSE)</f>
        <v>#N/A</v>
      </c>
      <c r="AE13" s="25" t="e">
        <f>VLOOKUP(Tabulka381114263238445056626874808692[[#This Row],[Tým]],Tabulka171013253137434955616773798591[[Tým]:[ ]],7,FALSE)</f>
        <v>#N/A</v>
      </c>
      <c r="AF13" s="29" t="e">
        <f>IF(Tabulka381114263238445056626874808692[[#This Row],[Výsledný čas]]="N",5,IF(Tabulka381114263238445056626874808692[[#This Row],[Výsledný čas]]="D",0,IF(Tabulka381114263238445056626874808692[[#This Row],[Výsledný čas]]="NEÚČAST",0,Tabulka4[[#Totals],[Týmy muži]]+6-Tabulka381114263238445056626874808692[[#This Row],[Umístění]])))</f>
        <v>#N/A</v>
      </c>
      <c r="AH13" s="31" t="e">
        <f>_xlfn.RANK.EQ(Tabulka591215273339455157636975818793[[#This Row],[Body]],Tabulka591215273339455157636975818793[Body],0)</f>
        <v>#N/A</v>
      </c>
      <c r="AI13" s="27"/>
      <c r="AJ13" s="25" t="e">
        <f>VLOOKUP(Tabulka591215273339455157636975818793[[#This Row],[Tým]],Tabulka381114263238445056626874808692[[Tým]:[Body]],6,FALSE)+Tabulka591215273339455157636975818793[[#This Row],[ ]]</f>
        <v>#N/A</v>
      </c>
      <c r="AK13" s="39" t="e">
        <f>VLOOKUP(Tabulka591215273339455157636975818793[[#This Row],[Tým]],Tabulka5912152733394551576369758187[[Tým]:[Body]],2,FALSE)</f>
        <v>#N/A</v>
      </c>
      <c r="AL13" s="82" t="e">
        <f>Tabulka591215273339455157636975818793[[#This Row],[Umístění]]</f>
        <v>#N/A</v>
      </c>
      <c r="AM13" s="15"/>
      <c r="AP13" s="1"/>
    </row>
    <row r="14" spans="1:42" ht="24.95" customHeight="1" x14ac:dyDescent="0.4">
      <c r="Z14" s="63" t="e">
        <f>IF(OR(Tabulka381114263238445056626874808692[Výsledný čas]="N",Tabulka381114263238445056626874808692[Výsledný čas]="D",Tabulka381114263238445056626874808692[Výsledný čas]="NEÚČAST"),Uvod!$E$4,_xlfn.RANK.EQ(Tabulka381114263238445056626874808692[[#This Row],[ ]],Tabulka381114263238445056626874808692[[ ]],1))</f>
        <v>#N/A</v>
      </c>
      <c r="AA14" s="27"/>
      <c r="AB14" s="44" t="e">
        <f>VLOOKUP(Tabulka381114263238445056626874808692[[#This Row],[Tým]],Tabulka171013253137434955616773798591[[Tým]:[ ]],2,FALSE)</f>
        <v>#N/A</v>
      </c>
      <c r="AC14" s="44" t="e">
        <f>VLOOKUP(Tabulka381114263238445056626874808692[[#This Row],[Tým]],Tabulka171013253137434955616773798591[[Tým]:[ ]],3,FALSE)</f>
        <v>#N/A</v>
      </c>
      <c r="AD14" s="25" t="e">
        <f>VLOOKUP(Tabulka381114263238445056626874808692[[#This Row],[Tým]],Tabulka171013253137434955616773798591[[Tým]:[ ]],4,FALSE)</f>
        <v>#N/A</v>
      </c>
      <c r="AE14" s="25" t="e">
        <f>VLOOKUP(Tabulka381114263238445056626874808692[[#This Row],[Tým]],Tabulka171013253137434955616773798591[[Tým]:[ ]],7,FALSE)</f>
        <v>#N/A</v>
      </c>
      <c r="AF14" s="29" t="e">
        <f>IF(Tabulka381114263238445056626874808692[[#This Row],[Výsledný čas]]="N",5,IF(Tabulka381114263238445056626874808692[[#This Row],[Výsledný čas]]="D",0,IF(Tabulka381114263238445056626874808692[[#This Row],[Výsledný čas]]="NEÚČAST",0,Tabulka4[[#Totals],[Týmy muži]]+6-Tabulka381114263238445056626874808692[[#This Row],[Umístění]])))</f>
        <v>#N/A</v>
      </c>
      <c r="AH14" s="31" t="e">
        <f>_xlfn.RANK.EQ(Tabulka591215273339455157636975818793[[#This Row],[Body]],Tabulka591215273339455157636975818793[Body],0)</f>
        <v>#N/A</v>
      </c>
      <c r="AI14" s="27"/>
      <c r="AJ14" s="25" t="e">
        <f>VLOOKUP(Tabulka591215273339455157636975818793[[#This Row],[Tým]],Tabulka381114263238445056626874808692[[Tým]:[Body]],6,FALSE)+Tabulka591215273339455157636975818793[[#This Row],[ ]]</f>
        <v>#N/A</v>
      </c>
      <c r="AK14" s="39" t="e">
        <f>VLOOKUP(Tabulka591215273339455157636975818793[[#This Row],[Tým]],Tabulka5912152733394551576369758187[[Tým]:[Body]],2,FALSE)</f>
        <v>#N/A</v>
      </c>
      <c r="AL14" s="82" t="e">
        <f>Tabulka591215273339455157636975818793[[#This Row],[Umístění]]</f>
        <v>#N/A</v>
      </c>
      <c r="AM14" s="15"/>
      <c r="AP14" s="1"/>
    </row>
    <row r="15" spans="1:42" ht="24.95" customHeight="1" x14ac:dyDescent="0.4">
      <c r="Z15" s="63" t="e">
        <f>IF(OR(Tabulka381114263238445056626874808692[Výsledný čas]="N",Tabulka381114263238445056626874808692[Výsledný čas]="D",Tabulka381114263238445056626874808692[Výsledný čas]="NEÚČAST"),Uvod!$E$4,_xlfn.RANK.EQ(Tabulka381114263238445056626874808692[[#This Row],[ ]],Tabulka381114263238445056626874808692[[ ]],1))</f>
        <v>#N/A</v>
      </c>
      <c r="AA15" s="27"/>
      <c r="AB15" s="44" t="e">
        <f>VLOOKUP(Tabulka381114263238445056626874808692[[#This Row],[Tým]],Tabulka171013253137434955616773798591[[Tým]:[ ]],2,FALSE)</f>
        <v>#N/A</v>
      </c>
      <c r="AC15" s="44" t="e">
        <f>VLOOKUP(Tabulka381114263238445056626874808692[[#This Row],[Tým]],Tabulka171013253137434955616773798591[[Tým]:[ ]],3,FALSE)</f>
        <v>#N/A</v>
      </c>
      <c r="AD15" s="25" t="e">
        <f>VLOOKUP(Tabulka381114263238445056626874808692[[#This Row],[Tým]],Tabulka171013253137434955616773798591[[Tým]:[ ]],4,FALSE)</f>
        <v>#N/A</v>
      </c>
      <c r="AE15" s="25" t="e">
        <f>VLOOKUP(Tabulka381114263238445056626874808692[[#This Row],[Tým]],Tabulka171013253137434955616773798591[[Tým]:[ ]],7,FALSE)</f>
        <v>#N/A</v>
      </c>
      <c r="AF15" s="29" t="e">
        <f>IF(Tabulka381114263238445056626874808692[[#This Row],[Výsledný čas]]="N",5,IF(Tabulka381114263238445056626874808692[[#This Row],[Výsledný čas]]="D",0,IF(Tabulka381114263238445056626874808692[[#This Row],[Výsledný čas]]="NEÚČAST",0,Tabulka4[[#Totals],[Týmy muži]]+6-Tabulka381114263238445056626874808692[[#This Row],[Umístění]])))</f>
        <v>#N/A</v>
      </c>
      <c r="AH15" s="31" t="e">
        <f>_xlfn.RANK.EQ(Tabulka591215273339455157636975818793[[#This Row],[Body]],Tabulka591215273339455157636975818793[Body],0)</f>
        <v>#N/A</v>
      </c>
      <c r="AI15" s="27"/>
      <c r="AJ15" s="25" t="e">
        <f>VLOOKUP(Tabulka591215273339455157636975818793[[#This Row],[Tým]],Tabulka381114263238445056626874808692[[Tým]:[Body]],6,FALSE)+Tabulka591215273339455157636975818793[[#This Row],[ ]]</f>
        <v>#N/A</v>
      </c>
      <c r="AK15" s="39" t="e">
        <f>VLOOKUP(Tabulka591215273339455157636975818793[[#This Row],[Tým]],Tabulka5912152733394551576369758187[[Tým]:[Body]],2,FALSE)</f>
        <v>#N/A</v>
      </c>
      <c r="AL15" s="82" t="e">
        <f>Tabulka591215273339455157636975818793[[#This Row],[Umístění]]</f>
        <v>#N/A</v>
      </c>
      <c r="AM15" s="15"/>
      <c r="AP15" s="1"/>
    </row>
    <row r="16" spans="1:42" ht="24.95" customHeight="1" x14ac:dyDescent="0.4">
      <c r="Z16" s="63" t="e">
        <f>IF(OR(Tabulka381114263238445056626874808692[Výsledný čas]="N",Tabulka381114263238445056626874808692[Výsledný čas]="D",Tabulka381114263238445056626874808692[Výsledný čas]="NEÚČAST"),Uvod!$E$4,_xlfn.RANK.EQ(Tabulka381114263238445056626874808692[[#This Row],[ ]],Tabulka381114263238445056626874808692[[ ]],1))</f>
        <v>#N/A</v>
      </c>
      <c r="AA16" s="27"/>
      <c r="AB16" s="44" t="e">
        <f>VLOOKUP(Tabulka381114263238445056626874808692[[#This Row],[Tým]],Tabulka171013253137434955616773798591[[Tým]:[ ]],2,FALSE)</f>
        <v>#N/A</v>
      </c>
      <c r="AC16" s="44" t="e">
        <f>VLOOKUP(Tabulka381114263238445056626874808692[[#This Row],[Tým]],Tabulka171013253137434955616773798591[[Tým]:[ ]],3,FALSE)</f>
        <v>#N/A</v>
      </c>
      <c r="AD16" s="25" t="e">
        <f>VLOOKUP(Tabulka381114263238445056626874808692[[#This Row],[Tým]],Tabulka171013253137434955616773798591[[Tým]:[ ]],4,FALSE)</f>
        <v>#N/A</v>
      </c>
      <c r="AE16" s="25" t="e">
        <f>VLOOKUP(Tabulka381114263238445056626874808692[[#This Row],[Tým]],Tabulka171013253137434955616773798591[[Tým]:[ ]],7,FALSE)</f>
        <v>#N/A</v>
      </c>
      <c r="AF16" s="29" t="e">
        <f>IF(Tabulka381114263238445056626874808692[[#This Row],[Výsledný čas]]="N",5,IF(Tabulka381114263238445056626874808692[[#This Row],[Výsledný čas]]="D",0,IF(Tabulka381114263238445056626874808692[[#This Row],[Výsledný čas]]="NEÚČAST",0,Tabulka4[[#Totals],[Týmy muži]]+6-Tabulka381114263238445056626874808692[[#This Row],[Umístění]])))</f>
        <v>#N/A</v>
      </c>
      <c r="AH16" s="31" t="e">
        <f>_xlfn.RANK.EQ(Tabulka591215273339455157636975818793[[#This Row],[Body]],Tabulka591215273339455157636975818793[Body],0)</f>
        <v>#N/A</v>
      </c>
      <c r="AI16" s="27"/>
      <c r="AJ16" s="25" t="e">
        <f>VLOOKUP(Tabulka591215273339455157636975818793[[#This Row],[Tým]],Tabulka381114263238445056626874808692[[Tým]:[Body]],6,FALSE)+Tabulka591215273339455157636975818793[[#This Row],[ ]]</f>
        <v>#N/A</v>
      </c>
      <c r="AK16" s="39" t="e">
        <f>VLOOKUP(Tabulka591215273339455157636975818793[[#This Row],[Tým]],Tabulka5912152733394551576369758187[[Tým]:[Body]],2,FALSE)</f>
        <v>#N/A</v>
      </c>
      <c r="AL16" s="82" t="e">
        <f>Tabulka591215273339455157636975818793[[#This Row],[Umístění]]</f>
        <v>#N/A</v>
      </c>
      <c r="AM16" s="15"/>
      <c r="AP16" s="1"/>
    </row>
    <row r="17" spans="26:42" ht="24.95" customHeight="1" x14ac:dyDescent="0.4">
      <c r="Z17" s="63" t="e">
        <f>IF(OR(Tabulka381114263238445056626874808692[Výsledný čas]="N",Tabulka381114263238445056626874808692[Výsledný čas]="D",Tabulka381114263238445056626874808692[Výsledný čas]="NEÚČAST"),Uvod!$E$4,_xlfn.RANK.EQ(Tabulka381114263238445056626874808692[[#This Row],[ ]],Tabulka381114263238445056626874808692[[ ]],1))</f>
        <v>#N/A</v>
      </c>
      <c r="AA17" s="27"/>
      <c r="AB17" s="44" t="e">
        <f>VLOOKUP(Tabulka381114263238445056626874808692[[#This Row],[Tým]],Tabulka171013253137434955616773798591[[Tým]:[ ]],2,FALSE)</f>
        <v>#N/A</v>
      </c>
      <c r="AC17" s="44" t="e">
        <f>VLOOKUP(Tabulka381114263238445056626874808692[[#This Row],[Tým]],Tabulka171013253137434955616773798591[[Tým]:[ ]],3,FALSE)</f>
        <v>#N/A</v>
      </c>
      <c r="AD17" s="25" t="e">
        <f>VLOOKUP(Tabulka381114263238445056626874808692[[#This Row],[Tým]],Tabulka171013253137434955616773798591[[Tým]:[ ]],4,FALSE)</f>
        <v>#N/A</v>
      </c>
      <c r="AE17" s="25" t="e">
        <f>VLOOKUP(Tabulka381114263238445056626874808692[[#This Row],[Tým]],Tabulka171013253137434955616773798591[[Tým]:[ ]],7,FALSE)</f>
        <v>#N/A</v>
      </c>
      <c r="AF17" s="29" t="e">
        <f>IF(Tabulka381114263238445056626874808692[[#This Row],[Výsledný čas]]="N",5,IF(Tabulka381114263238445056626874808692[[#This Row],[Výsledný čas]]="D",0,IF(Tabulka381114263238445056626874808692[[#This Row],[Výsledný čas]]="NEÚČAST",0,Tabulka4[[#Totals],[Týmy muži]]+6-Tabulka381114263238445056626874808692[[#This Row],[Umístění]])))</f>
        <v>#N/A</v>
      </c>
      <c r="AH17" s="31" t="e">
        <f>_xlfn.RANK.EQ(Tabulka591215273339455157636975818793[[#This Row],[Body]],Tabulka591215273339455157636975818793[Body],0)</f>
        <v>#N/A</v>
      </c>
      <c r="AI17" s="27"/>
      <c r="AJ17" s="25" t="e">
        <f>VLOOKUP(Tabulka591215273339455157636975818793[[#This Row],[Tým]],Tabulka381114263238445056626874808692[[Tým]:[Body]],6,FALSE)+Tabulka591215273339455157636975818793[[#This Row],[ ]]</f>
        <v>#N/A</v>
      </c>
      <c r="AK17" s="39" t="e">
        <f>VLOOKUP(Tabulka591215273339455157636975818793[[#This Row],[Tým]],Tabulka5912152733394551576369758187[[Tým]:[Body]],2,FALSE)</f>
        <v>#N/A</v>
      </c>
      <c r="AL17" s="82" t="e">
        <f>Tabulka591215273339455157636975818793[[#This Row],[Umístění]]</f>
        <v>#N/A</v>
      </c>
      <c r="AM17" s="15"/>
      <c r="AP17" s="1"/>
    </row>
    <row r="18" spans="26:42" ht="24.95" customHeight="1" x14ac:dyDescent="0.4">
      <c r="Z18" s="63" t="e">
        <f>IF(OR(Tabulka381114263238445056626874808692[Výsledný čas]="N",Tabulka381114263238445056626874808692[Výsledný čas]="D",Tabulka381114263238445056626874808692[Výsledný čas]="NEÚČAST"),Uvod!$E$4,_xlfn.RANK.EQ(Tabulka381114263238445056626874808692[[#This Row],[ ]],Tabulka381114263238445056626874808692[[ ]],1))</f>
        <v>#N/A</v>
      </c>
      <c r="AA18" s="27"/>
      <c r="AB18" s="44" t="e">
        <f>VLOOKUP(Tabulka381114263238445056626874808692[[#This Row],[Tým]],Tabulka171013253137434955616773798591[[Tým]:[ ]],2,FALSE)</f>
        <v>#N/A</v>
      </c>
      <c r="AC18" s="44" t="e">
        <f>VLOOKUP(Tabulka381114263238445056626874808692[[#This Row],[Tým]],Tabulka171013253137434955616773798591[[Tým]:[ ]],3,FALSE)</f>
        <v>#N/A</v>
      </c>
      <c r="AD18" s="25" t="e">
        <f>VLOOKUP(Tabulka381114263238445056626874808692[[#This Row],[Tým]],Tabulka171013253137434955616773798591[[Tým]:[ ]],4,FALSE)</f>
        <v>#N/A</v>
      </c>
      <c r="AE18" s="25" t="e">
        <f>VLOOKUP(Tabulka381114263238445056626874808692[[#This Row],[Tým]],Tabulka171013253137434955616773798591[[Tým]:[ ]],7,FALSE)</f>
        <v>#N/A</v>
      </c>
      <c r="AF18" s="29" t="e">
        <f>IF(Tabulka381114263238445056626874808692[[#This Row],[Výsledný čas]]="N",5,IF(Tabulka381114263238445056626874808692[[#This Row],[Výsledný čas]]="D",0,IF(Tabulka381114263238445056626874808692[[#This Row],[Výsledný čas]]="NEÚČAST",0,Tabulka4[[#Totals],[Týmy muži]]+6-Tabulka381114263238445056626874808692[[#This Row],[Umístění]])))</f>
        <v>#N/A</v>
      </c>
      <c r="AH18" s="31" t="e">
        <f>_xlfn.RANK.EQ(Tabulka591215273339455157636975818793[[#This Row],[Body]],Tabulka591215273339455157636975818793[Body],0)</f>
        <v>#N/A</v>
      </c>
      <c r="AI18" s="27"/>
      <c r="AJ18" s="25" t="e">
        <f>VLOOKUP(Tabulka591215273339455157636975818793[[#This Row],[Tým]],Tabulka381114263238445056626874808692[[Tým]:[Body]],6,FALSE)+Tabulka591215273339455157636975818793[[#This Row],[ ]]</f>
        <v>#N/A</v>
      </c>
      <c r="AK18" s="39" t="e">
        <f>VLOOKUP(Tabulka591215273339455157636975818793[[#This Row],[Tým]],Tabulka5912152733394551576369758187[[Tým]:[Body]],2,FALSE)</f>
        <v>#N/A</v>
      </c>
      <c r="AL18" s="82" t="e">
        <f>Tabulka591215273339455157636975818793[[#This Row],[Umístění]]</f>
        <v>#N/A</v>
      </c>
      <c r="AM18" s="15"/>
      <c r="AP18" s="1"/>
    </row>
    <row r="19" spans="26:42" ht="24.95" customHeight="1" x14ac:dyDescent="0.4">
      <c r="Z19" s="63" t="e">
        <f>IF(OR(Tabulka381114263238445056626874808692[Výsledný čas]="N",Tabulka381114263238445056626874808692[Výsledný čas]="D",Tabulka381114263238445056626874808692[Výsledný čas]="NEÚČAST"),Uvod!$E$4,_xlfn.RANK.EQ(Tabulka381114263238445056626874808692[[#This Row],[ ]],Tabulka381114263238445056626874808692[[ ]],1))</f>
        <v>#N/A</v>
      </c>
      <c r="AA19" s="27"/>
      <c r="AB19" s="44" t="e">
        <f>VLOOKUP(Tabulka381114263238445056626874808692[[#This Row],[Tým]],Tabulka171013253137434955616773798591[[Tým]:[ ]],2,FALSE)</f>
        <v>#N/A</v>
      </c>
      <c r="AC19" s="44" t="e">
        <f>VLOOKUP(Tabulka381114263238445056626874808692[[#This Row],[Tým]],Tabulka171013253137434955616773798591[[Tým]:[ ]],3,FALSE)</f>
        <v>#N/A</v>
      </c>
      <c r="AD19" s="25" t="e">
        <f>VLOOKUP(Tabulka381114263238445056626874808692[[#This Row],[Tým]],Tabulka171013253137434955616773798591[[Tým]:[ ]],4,FALSE)</f>
        <v>#N/A</v>
      </c>
      <c r="AE19" s="25" t="e">
        <f>VLOOKUP(Tabulka381114263238445056626874808692[[#This Row],[Tým]],Tabulka171013253137434955616773798591[[Tým]:[ ]],7,FALSE)</f>
        <v>#N/A</v>
      </c>
      <c r="AF19" s="29" t="e">
        <f>IF(Tabulka381114263238445056626874808692[[#This Row],[Výsledný čas]]="N",5,IF(Tabulka381114263238445056626874808692[[#This Row],[Výsledný čas]]="D",0,IF(Tabulka381114263238445056626874808692[[#This Row],[Výsledný čas]]="NEÚČAST",0,Tabulka4[[#Totals],[Týmy muži]]+6-Tabulka381114263238445056626874808692[[#This Row],[Umístění]])))</f>
        <v>#N/A</v>
      </c>
      <c r="AH19" s="31" t="e">
        <f>_xlfn.RANK.EQ(Tabulka591215273339455157636975818793[[#This Row],[Body]],Tabulka591215273339455157636975818793[Body],0)</f>
        <v>#N/A</v>
      </c>
      <c r="AI19" s="27"/>
      <c r="AJ19" s="25" t="e">
        <f>VLOOKUP(Tabulka591215273339455157636975818793[[#This Row],[Tým]],Tabulka381114263238445056626874808692[[Tým]:[Body]],6,FALSE)+Tabulka591215273339455157636975818793[[#This Row],[ ]]</f>
        <v>#N/A</v>
      </c>
      <c r="AK19" s="39" t="e">
        <f>VLOOKUP(Tabulka591215273339455157636975818793[[#This Row],[Tým]],Tabulka5912152733394551576369758187[[Tým]:[Body]],2,FALSE)</f>
        <v>#N/A</v>
      </c>
      <c r="AL19" s="82" t="e">
        <f>Tabulka591215273339455157636975818793[[#This Row],[Umístění]]</f>
        <v>#N/A</v>
      </c>
      <c r="AM19" s="15"/>
      <c r="AP19" s="1"/>
    </row>
    <row r="20" spans="26:42" ht="24.95" customHeight="1" thickBot="1" x14ac:dyDescent="0.45">
      <c r="Z20" s="64" t="e">
        <f>IF(OR(Tabulka381114263238445056626874808692[Výsledný čas]="N",Tabulka381114263238445056626874808692[Výsledný čas]="D",Tabulka381114263238445056626874808692[Výsledný čas]="NEÚČAST"),Uvod!$E$4,_xlfn.RANK.EQ(Tabulka381114263238445056626874808692[[#This Row],[ ]],Tabulka381114263238445056626874808692[[ ]],1))</f>
        <v>#N/A</v>
      </c>
      <c r="AA20" s="35"/>
      <c r="AB20" s="45" t="e">
        <f>VLOOKUP(Tabulka381114263238445056626874808692[[#This Row],[Tým]],Tabulka171013253137434955616773798591[[Tým]:[ ]],2,FALSE)</f>
        <v>#N/A</v>
      </c>
      <c r="AC20" s="45" t="e">
        <f>VLOOKUP(Tabulka381114263238445056626874808692[[#This Row],[Tým]],Tabulka171013253137434955616773798591[[Tým]:[ ]],3,FALSE)</f>
        <v>#N/A</v>
      </c>
      <c r="AD20" s="34" t="e">
        <f>VLOOKUP(Tabulka381114263238445056626874808692[[#This Row],[Tým]],Tabulka171013253137434955616773798591[[Tým]:[ ]],4,FALSE)</f>
        <v>#N/A</v>
      </c>
      <c r="AE20" s="34" t="e">
        <f>VLOOKUP(Tabulka381114263238445056626874808692[[#This Row],[Tým]],Tabulka171013253137434955616773798591[[Tým]:[ ]],7,FALSE)</f>
        <v>#N/A</v>
      </c>
      <c r="AF20" s="36" t="e">
        <f>IF(Tabulka381114263238445056626874808692[[#This Row],[Výsledný čas]]="N",5,IF(Tabulka381114263238445056626874808692[[#This Row],[Výsledný čas]]="D",0,IF(Tabulka381114263238445056626874808692[[#This Row],[Výsledný čas]]="NEÚČAST",0,Tabulka4[[#Totals],[Týmy muži]]+6-Tabulka381114263238445056626874808692[[#This Row],[Umístění]])))</f>
        <v>#N/A</v>
      </c>
      <c r="AH20" s="33" t="e">
        <f>_xlfn.RANK.EQ(Tabulka591215273339455157636975818793[[#This Row],[Body]],Tabulka591215273339455157636975818793[Body],0)</f>
        <v>#N/A</v>
      </c>
      <c r="AI20" s="35"/>
      <c r="AJ20" s="34" t="e">
        <f>VLOOKUP(Tabulka591215273339455157636975818793[[#This Row],[Tým]],Tabulka381114263238445056626874808692[[Tým]:[Body]],6,FALSE)+Tabulka591215273339455157636975818793[[#This Row],[ ]]</f>
        <v>#N/A</v>
      </c>
      <c r="AK20" s="41" t="e">
        <f>VLOOKUP(Tabulka591215273339455157636975818793[[#This Row],[Tým]],Tabulka5912152733394551576369758187[[Tým]:[Body]],2,FALSE)</f>
        <v>#N/A</v>
      </c>
      <c r="AL20" s="114" t="e">
        <f>Tabulka591215273339455157636975818793[[#This Row],[Umístění]]</f>
        <v>#N/A</v>
      </c>
      <c r="AM20" s="15"/>
      <c r="AP20" s="1"/>
    </row>
    <row r="21" spans="26:42" ht="24.95" customHeight="1" x14ac:dyDescent="0.4">
      <c r="AB21" s="3"/>
      <c r="AC21" s="3"/>
    </row>
    <row r="22" spans="26:42" ht="24.95" customHeight="1" thickBot="1" x14ac:dyDescent="0.45">
      <c r="AB22" s="3"/>
      <c r="AC22" s="3"/>
    </row>
    <row r="23" spans="26:42" ht="24.95" customHeight="1" x14ac:dyDescent="0.4">
      <c r="Z23" s="308" t="str">
        <f>N2</f>
        <v xml:space="preserve">Výsledky - Soutěže 14. kola NHHL 0.1. 1900  - ŽENY </v>
      </c>
      <c r="AA23" s="309"/>
      <c r="AB23" s="309"/>
      <c r="AC23" s="309"/>
      <c r="AD23" s="309"/>
      <c r="AE23" s="309"/>
      <c r="AF23" s="310"/>
      <c r="AH23" s="308" t="s">
        <v>146</v>
      </c>
      <c r="AI23" s="309"/>
      <c r="AJ23" s="309"/>
      <c r="AK23" s="310"/>
      <c r="AL23" s="15"/>
      <c r="AM23" s="15"/>
    </row>
    <row r="24" spans="26:42" ht="24.95" customHeight="1" x14ac:dyDescent="0.4">
      <c r="Z24" s="31" t="s">
        <v>1</v>
      </c>
      <c r="AA24" s="25" t="s">
        <v>2</v>
      </c>
      <c r="AB24" s="25" t="s">
        <v>3</v>
      </c>
      <c r="AC24" s="25" t="s">
        <v>4</v>
      </c>
      <c r="AD24" s="25" t="s">
        <v>5</v>
      </c>
      <c r="AE24" s="25" t="s">
        <v>27</v>
      </c>
      <c r="AF24" s="29" t="s">
        <v>7</v>
      </c>
      <c r="AH24" s="31" t="s">
        <v>1</v>
      </c>
      <c r="AI24" s="25" t="s">
        <v>2</v>
      </c>
      <c r="AJ24" s="25" t="s">
        <v>7</v>
      </c>
      <c r="AK24" s="29" t="s">
        <v>27</v>
      </c>
      <c r="AL24" s="94" t="s">
        <v>73</v>
      </c>
      <c r="AM24" s="15"/>
      <c r="AP24" s="1"/>
    </row>
    <row r="25" spans="26:42" ht="24.95" customHeight="1" x14ac:dyDescent="0.4">
      <c r="Z25" s="31" t="e">
        <f>IF(OR(Tabulka3811142283440465258647076828894[Výsledný čas]="N",Tabulka3811142283440465258647076828894[Výsledný čas]="D",Tabulka3811142283440465258647076828894[Výsledný čas]="NEÚČAST"),Uvod!$E$6,_xlfn.RANK.EQ(Tabulka3811142283440465258647076828894[[#This Row],[ ]],Tabulka3811142283440465258647076828894[[ ]],1))</f>
        <v>#N/A</v>
      </c>
      <c r="AA25" s="27"/>
      <c r="AB25" s="44" t="e">
        <f>VLOOKUP(Tabulka3811142283440465258647076828894[[#This Row],[Tým]],Tabulka1710136303642485460667278849096[[Tým]:[ ]],2,FALSE)</f>
        <v>#N/A</v>
      </c>
      <c r="AC25" s="44" t="e">
        <f>VLOOKUP(Tabulka3811142283440465258647076828894[[#This Row],[Tým]],Tabulka1710136303642485460667278849096[[Tým]:[ ]],3,FALSE)</f>
        <v>#N/A</v>
      </c>
      <c r="AD25" s="25" t="e">
        <f>VLOOKUP(Tabulka3811142283440465258647076828894[[#This Row],[Tým]],Tabulka1710136303642485460667278849096[[Tým]:[ ]],4,FALSE)</f>
        <v>#N/A</v>
      </c>
      <c r="AE25" s="25" t="e">
        <f>VLOOKUP(Tabulka3811142283440465258647076828894[[#This Row],[Tým]],Tabulka1710136303642485460667278849096[[Tým]:[ ]],7,FALSE)</f>
        <v>#N/A</v>
      </c>
      <c r="AF25" s="29" t="e">
        <f>IF(Tabulka3811142283440465258647076828894[[#This Row],[Výsledný čas]]="N",5,IF(Tabulka3811142283440465258647076828894[[#This Row],[Výsledný čas]]="D",0,IF(Tabulka3811142283440465258647076828894[[#This Row],[Výsledný čas]]="NEÚČAST",0,Tabulka8[[#Totals],[Týmy ženy]]+6-Tabulka3811142283440465258647076828894[[#This Row],[Umístění]])))</f>
        <v>#N/A</v>
      </c>
      <c r="AH25" s="31" t="e">
        <f>_xlfn.RANK.EQ(Tabulka5912153293541475359657177838995[[#This Row],[Body]],Tabulka5912153293541475359657177838995[Body],0)</f>
        <v>#N/A</v>
      </c>
      <c r="AI25" s="38"/>
      <c r="AJ25" s="25" t="e">
        <f>VLOOKUP(Tabulka5912153293541475359657177838995[[#This Row],[Tým]],Tabulka3811142283440465258647076828894[[Tým]:[Body]],6,FALSE)+Tabulka5912153293541475359657177838995[[#This Row],[ ]]</f>
        <v>#N/A</v>
      </c>
      <c r="AK25" s="39" t="e">
        <f>VLOOKUP(Tabulka5912153293541475359657177838995[[#This Row],[Tým]],Tabulka59121532935414753596571778389[[Tým]:[Body]],2,FALSE)</f>
        <v>#N/A</v>
      </c>
      <c r="AL25" s="92" t="e">
        <f>Tabulka5912153293541475359657177838995[[#This Row],[Umístění]]</f>
        <v>#N/A</v>
      </c>
      <c r="AM25" s="15"/>
      <c r="AP25" s="1"/>
    </row>
    <row r="26" spans="26:42" ht="24.95" customHeight="1" x14ac:dyDescent="0.4">
      <c r="Z26" s="31" t="e">
        <f>IF(OR(Tabulka3811142283440465258647076828894[Výsledný čas]="N",Tabulka3811142283440465258647076828894[Výsledný čas]="D",Tabulka3811142283440465258647076828894[Výsledný čas]="NEÚČAST"),Uvod!$E$6,_xlfn.RANK.EQ(Tabulka3811142283440465258647076828894[[#This Row],[ ]],Tabulka3811142283440465258647076828894[[ ]],1))</f>
        <v>#N/A</v>
      </c>
      <c r="AA26" s="27"/>
      <c r="AB26" s="44" t="e">
        <f>VLOOKUP(Tabulka3811142283440465258647076828894[[#This Row],[Tým]],Tabulka1710136303642485460667278849096[[Tým]:[ ]],2,FALSE)</f>
        <v>#N/A</v>
      </c>
      <c r="AC26" s="44" t="e">
        <f>VLOOKUP(Tabulka3811142283440465258647076828894[[#This Row],[Tým]],Tabulka1710136303642485460667278849096[[Tým]:[ ]],3,FALSE)</f>
        <v>#N/A</v>
      </c>
      <c r="AD26" s="25" t="e">
        <f>VLOOKUP(Tabulka3811142283440465258647076828894[[#This Row],[Tým]],Tabulka1710136303642485460667278849096[[Tým]:[ ]],4,FALSE)</f>
        <v>#N/A</v>
      </c>
      <c r="AE26" s="25" t="e">
        <f>VLOOKUP(Tabulka3811142283440465258647076828894[[#This Row],[Tým]],Tabulka1710136303642485460667278849096[[Tým]:[ ]],7,FALSE)</f>
        <v>#N/A</v>
      </c>
      <c r="AF26" s="29" t="e">
        <f>IF(Tabulka3811142283440465258647076828894[[#This Row],[Výsledný čas]]="N",5,IF(Tabulka3811142283440465258647076828894[[#This Row],[Výsledný čas]]="D",0,IF(Tabulka3811142283440465258647076828894[[#This Row],[Výsledný čas]]="NEÚČAST",0,Tabulka8[[#Totals],[Týmy ženy]]+6-Tabulka3811142283440465258647076828894[[#This Row],[Umístění]])))</f>
        <v>#N/A</v>
      </c>
      <c r="AH26" s="31" t="e">
        <f>_xlfn.RANK.EQ(Tabulka5912153293541475359657177838995[[#This Row],[Body]],Tabulka5912153293541475359657177838995[Body],0)</f>
        <v>#N/A</v>
      </c>
      <c r="AI26" s="38"/>
      <c r="AJ26" s="25" t="e">
        <f>VLOOKUP(Tabulka5912153293541475359657177838995[[#This Row],[Tým]],Tabulka3811142283440465258647076828894[[Tým]:[Body]],6,FALSE)+Tabulka5912153293541475359657177838995[[#This Row],[ ]]</f>
        <v>#N/A</v>
      </c>
      <c r="AK26" s="39" t="e">
        <f>VLOOKUP(Tabulka5912153293541475359657177838995[[#This Row],[Tým]],Tabulka59121532935414753596571778389[[Tým]:[Body]],2,FALSE)</f>
        <v>#N/A</v>
      </c>
      <c r="AL26" s="47" t="e">
        <f>Tabulka5912153293541475359657177838995[[#This Row],[Umístění]]</f>
        <v>#N/A</v>
      </c>
      <c r="AM26" s="15"/>
      <c r="AP26" s="1"/>
    </row>
    <row r="27" spans="26:42" ht="24.95" customHeight="1" x14ac:dyDescent="0.4">
      <c r="Z27" s="31" t="e">
        <f>IF(OR(Tabulka3811142283440465258647076828894[Výsledný čas]="N",Tabulka3811142283440465258647076828894[Výsledný čas]="D",Tabulka3811142283440465258647076828894[Výsledný čas]="NEÚČAST"),Uvod!$E$6,_xlfn.RANK.EQ(Tabulka3811142283440465258647076828894[[#This Row],[ ]],Tabulka3811142283440465258647076828894[[ ]],1))</f>
        <v>#N/A</v>
      </c>
      <c r="AA27" s="27"/>
      <c r="AB27" s="44" t="e">
        <f>VLOOKUP(Tabulka3811142283440465258647076828894[[#This Row],[Tým]],Tabulka1710136303642485460667278849096[[Tým]:[ ]],2,FALSE)</f>
        <v>#N/A</v>
      </c>
      <c r="AC27" s="44" t="e">
        <f>VLOOKUP(Tabulka3811142283440465258647076828894[[#This Row],[Tým]],Tabulka1710136303642485460667278849096[[Tým]:[ ]],3,FALSE)</f>
        <v>#N/A</v>
      </c>
      <c r="AD27" s="25" t="e">
        <f>VLOOKUP(Tabulka3811142283440465258647076828894[[#This Row],[Tým]],Tabulka1710136303642485460667278849096[[Tým]:[ ]],4,FALSE)</f>
        <v>#N/A</v>
      </c>
      <c r="AE27" s="25" t="e">
        <f>VLOOKUP(Tabulka3811142283440465258647076828894[[#This Row],[Tým]],Tabulka1710136303642485460667278849096[[Tým]:[ ]],7,FALSE)</f>
        <v>#N/A</v>
      </c>
      <c r="AF27" s="29" t="e">
        <f>IF(Tabulka3811142283440465258647076828894[[#This Row],[Výsledný čas]]="N",5,IF(Tabulka3811142283440465258647076828894[[#This Row],[Výsledný čas]]="D",0,IF(Tabulka3811142283440465258647076828894[[#This Row],[Výsledný čas]]="NEÚČAST",0,Tabulka8[[#Totals],[Týmy ženy]]+6-Tabulka3811142283440465258647076828894[[#This Row],[Umístění]])))</f>
        <v>#N/A</v>
      </c>
      <c r="AH27" s="31" t="e">
        <f>_xlfn.RANK.EQ(Tabulka5912153293541475359657177838995[[#This Row],[Body]],Tabulka5912153293541475359657177838995[Body],0)</f>
        <v>#N/A</v>
      </c>
      <c r="AI27" s="38"/>
      <c r="AJ27" s="25" t="e">
        <f>VLOOKUP(Tabulka5912153293541475359657177838995[[#This Row],[Tým]],Tabulka3811142283440465258647076828894[[Tým]:[Body]],6,FALSE)+Tabulka5912153293541475359657177838995[[#This Row],[ ]]</f>
        <v>#N/A</v>
      </c>
      <c r="AK27" s="39" t="e">
        <f>VLOOKUP(Tabulka5912153293541475359657177838995[[#This Row],[Tým]],Tabulka59121532935414753596571778389[[Tým]:[Body]],2,FALSE)</f>
        <v>#N/A</v>
      </c>
      <c r="AL27" s="47" t="e">
        <f>Tabulka5912153293541475359657177838995[[#This Row],[Umístění]]</f>
        <v>#N/A</v>
      </c>
      <c r="AM27" s="15"/>
      <c r="AP27" s="1"/>
    </row>
    <row r="28" spans="26:42" ht="24.95" customHeight="1" thickBot="1" x14ac:dyDescent="0.45">
      <c r="Z28" s="33" t="e">
        <f>IF(OR(Tabulka3811142283440465258647076828894[Výsledný čas]="N",Tabulka3811142283440465258647076828894[Výsledný čas]="D",Tabulka3811142283440465258647076828894[Výsledný čas]="NEÚČAST"),Uvod!$E$6,_xlfn.RANK.EQ(Tabulka3811142283440465258647076828894[[#This Row],[ ]],Tabulka3811142283440465258647076828894[[ ]],1))</f>
        <v>#N/A</v>
      </c>
      <c r="AA28" s="35"/>
      <c r="AB28" s="45" t="e">
        <f>VLOOKUP(Tabulka3811142283440465258647076828894[[#This Row],[Tým]],Tabulka1710136303642485460667278849096[[Tým]:[ ]],2,FALSE)</f>
        <v>#N/A</v>
      </c>
      <c r="AC28" s="45" t="e">
        <f>VLOOKUP(Tabulka3811142283440465258647076828894[[#This Row],[Tým]],Tabulka1710136303642485460667278849096[[Tým]:[ ]],3,FALSE)</f>
        <v>#N/A</v>
      </c>
      <c r="AD28" s="34" t="e">
        <f>VLOOKUP(Tabulka3811142283440465258647076828894[[#This Row],[Tým]],Tabulka1710136303642485460667278849096[[Tým]:[ ]],4,FALSE)</f>
        <v>#N/A</v>
      </c>
      <c r="AE28" s="34" t="e">
        <f>VLOOKUP(Tabulka3811142283440465258647076828894[[#This Row],[Tým]],Tabulka1710136303642485460667278849096[[Tým]:[ ]],7,FALSE)</f>
        <v>#N/A</v>
      </c>
      <c r="AF28" s="36" t="e">
        <f>IF(Tabulka3811142283440465258647076828894[[#This Row],[Výsledný čas]]="N",5,IF(Tabulka3811142283440465258647076828894[[#This Row],[Výsledný čas]]="D",0,IF(Tabulka3811142283440465258647076828894[[#This Row],[Výsledný čas]]="NEÚČAST",0,Tabulka8[[#Totals],[Týmy ženy]]+6-Tabulka3811142283440465258647076828894[[#This Row],[Umístění]])))</f>
        <v>#N/A</v>
      </c>
      <c r="AH28" s="33" t="e">
        <f>_xlfn.RANK.EQ(Tabulka5912153293541475359657177838995[[#This Row],[Body]],Tabulka5912153293541475359657177838995[Body],0)</f>
        <v>#N/A</v>
      </c>
      <c r="AI28" s="40"/>
      <c r="AJ28" s="34" t="e">
        <f>VLOOKUP(Tabulka5912153293541475359657177838995[[#This Row],[Tým]],Tabulka3811142283440465258647076828894[[Tým]:[Body]],6,FALSE)+Tabulka5912153293541475359657177838995[[#This Row],[ ]]</f>
        <v>#N/A</v>
      </c>
      <c r="AK28" s="41" t="e">
        <f>VLOOKUP(Tabulka5912153293541475359657177838995[[#This Row],[Tým]],Tabulka59121532935414753596571778389[[Tým]:[Body]],2,FALSE)</f>
        <v>#N/A</v>
      </c>
      <c r="AL28" s="93" t="e">
        <f>Tabulka5912153293541475359657177838995[[#This Row],[Umístění]]</f>
        <v>#N/A</v>
      </c>
      <c r="AM28" s="15"/>
      <c r="AP28" s="1"/>
    </row>
    <row r="29" spans="26:42" ht="24.95" customHeight="1" x14ac:dyDescent="0.4">
      <c r="AB29" s="3"/>
      <c r="AC29" s="3"/>
      <c r="AK29" s="4"/>
    </row>
    <row r="30" spans="26:42" ht="24.95" customHeight="1" x14ac:dyDescent="0.4">
      <c r="AB30" s="3"/>
      <c r="AC30" s="3"/>
      <c r="AK30" s="4"/>
    </row>
    <row r="31" spans="26:42" ht="24.95" customHeight="1" x14ac:dyDescent="0.4">
      <c r="AB31" s="3"/>
      <c r="AC31" s="3"/>
      <c r="AK31" s="4"/>
    </row>
    <row r="32" spans="26:42" ht="24.95" customHeight="1" x14ac:dyDescent="0.4">
      <c r="AB32" s="3"/>
      <c r="AC32" s="3"/>
      <c r="AK32" s="4"/>
    </row>
    <row r="33" spans="28:37" ht="24.95" customHeight="1" x14ac:dyDescent="0.4">
      <c r="AB33" s="3"/>
      <c r="AC33" s="3"/>
      <c r="AK33" s="4"/>
    </row>
    <row r="34" spans="28:37" ht="24.95" customHeight="1" x14ac:dyDescent="0.4">
      <c r="AB34" s="3"/>
      <c r="AC34" s="3"/>
      <c r="AK34" s="4"/>
    </row>
    <row r="35" spans="28:37" ht="24.95" customHeight="1" x14ac:dyDescent="0.4">
      <c r="AB35" s="3"/>
      <c r="AC35" s="3"/>
      <c r="AK35" s="4"/>
    </row>
    <row r="36" spans="28:37" ht="24.95" customHeight="1" x14ac:dyDescent="0.4">
      <c r="AB36" s="3"/>
      <c r="AC36" s="3"/>
      <c r="AK36" s="4"/>
    </row>
    <row r="37" spans="28:37" ht="24.95" customHeight="1" x14ac:dyDescent="0.4">
      <c r="AB37" s="3"/>
      <c r="AC37" s="3"/>
      <c r="AK37" s="4"/>
    </row>
    <row r="38" spans="28:37" ht="24.95" customHeight="1" x14ac:dyDescent="0.4">
      <c r="AB38" s="3"/>
      <c r="AC38" s="3"/>
      <c r="AK38" s="4"/>
    </row>
    <row r="39" spans="28:37" ht="24.95" customHeight="1" x14ac:dyDescent="0.4">
      <c r="AB39" s="3"/>
      <c r="AC39" s="3"/>
      <c r="AK39" s="4"/>
    </row>
    <row r="40" spans="28:37" ht="24.95" customHeight="1" x14ac:dyDescent="0.4">
      <c r="AB40" s="3"/>
      <c r="AC40" s="3"/>
      <c r="AK40" s="4"/>
    </row>
    <row r="41" spans="28:37" ht="24.95" customHeight="1" x14ac:dyDescent="0.4">
      <c r="AB41" s="3"/>
      <c r="AC41" s="3"/>
      <c r="AK41" s="4"/>
    </row>
    <row r="42" spans="28:37" ht="24.95" customHeight="1" x14ac:dyDescent="0.4"/>
    <row r="43" spans="28:37" ht="24.95" customHeight="1" x14ac:dyDescent="0.4"/>
    <row r="44" spans="28:37" ht="24.95" customHeight="1" x14ac:dyDescent="0.4"/>
    <row r="45" spans="28:37" ht="24.95" customHeight="1" x14ac:dyDescent="0.4"/>
    <row r="46" spans="28:37" ht="24.95" customHeight="1" x14ac:dyDescent="0.4"/>
    <row r="47" spans="28:37" ht="24.95" customHeight="1" x14ac:dyDescent="0.4"/>
    <row r="48" spans="28:37" ht="24.95" customHeight="1" x14ac:dyDescent="0.4"/>
    <row r="49" ht="24.95" customHeight="1" x14ac:dyDescent="0.4"/>
    <row r="50" ht="24.95" customHeight="1" x14ac:dyDescent="0.4"/>
    <row r="51" ht="24.95" customHeight="1" x14ac:dyDescent="0.4"/>
    <row r="52" ht="24.95" customHeight="1" x14ac:dyDescent="0.4"/>
    <row r="53" ht="24.95" customHeight="1" x14ac:dyDescent="0.4"/>
  </sheetData>
  <mergeCells count="6">
    <mergeCell ref="B2:J2"/>
    <mergeCell ref="N2:V2"/>
    <mergeCell ref="Z2:AF2"/>
    <mergeCell ref="AH2:AK2"/>
    <mergeCell ref="Z23:AF23"/>
    <mergeCell ref="AH23:AK23"/>
  </mergeCells>
  <phoneticPr fontId="12" type="noConversion"/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13815-0470-49CF-B716-5652B654F8B0}">
  <dimension ref="A1:AP53"/>
  <sheetViews>
    <sheetView showGridLines="0" zoomScale="55" zoomScaleNormal="55" workbookViewId="0">
      <selection activeCell="R16" sqref="R16"/>
    </sheetView>
  </sheetViews>
  <sheetFormatPr defaultRowHeight="26.25" x14ac:dyDescent="0.4"/>
  <cols>
    <col min="1" max="1" width="5.7109375" style="1" customWidth="1"/>
    <col min="2" max="3" width="16.7109375" style="1" customWidth="1"/>
    <col min="4" max="4" width="35.7109375" style="1" customWidth="1"/>
    <col min="5" max="6" width="16.7109375" style="1" customWidth="1"/>
    <col min="7" max="7" width="20.7109375" style="1" customWidth="1"/>
    <col min="8" max="9" width="20.7109375" style="1" hidden="1" customWidth="1"/>
    <col min="10" max="12" width="11.85546875" style="1" hidden="1" customWidth="1"/>
    <col min="13" max="13" width="10.7109375" style="1" customWidth="1"/>
    <col min="14" max="15" width="16.7109375" style="1" customWidth="1"/>
    <col min="16" max="16" width="35.7109375" style="1" customWidth="1"/>
    <col min="17" max="18" width="16.7109375" style="1" customWidth="1"/>
    <col min="19" max="19" width="20.7109375" style="1" customWidth="1"/>
    <col min="20" max="21" width="20.7109375" style="1" hidden="1" customWidth="1"/>
    <col min="22" max="24" width="13.7109375" style="1" hidden="1" customWidth="1"/>
    <col min="25" max="25" width="9.140625" style="1"/>
    <col min="26" max="26" width="16.7109375" style="1" customWidth="1"/>
    <col min="27" max="27" width="35.7109375" style="1" customWidth="1"/>
    <col min="28" max="29" width="16.7109375" style="1" customWidth="1"/>
    <col min="30" max="30" width="20.7109375" style="1" customWidth="1"/>
    <col min="31" max="31" width="13.7109375" style="1" hidden="1" customWidth="1"/>
    <col min="32" max="32" width="12.7109375" style="1" customWidth="1"/>
    <col min="33" max="33" width="9.140625" style="1"/>
    <col min="34" max="34" width="16.7109375" style="1" customWidth="1"/>
    <col min="35" max="35" width="35.7109375" style="1" customWidth="1"/>
    <col min="36" max="36" width="12.7109375" style="1" customWidth="1"/>
    <col min="37" max="37" width="10.7109375" style="1" hidden="1" customWidth="1"/>
    <col min="38" max="38" width="27.28515625" style="1" hidden="1" customWidth="1"/>
    <col min="39" max="41" width="9.140625" style="1"/>
    <col min="42" max="16384" width="9.140625" style="2"/>
  </cols>
  <sheetData>
    <row r="1" spans="1:42" ht="24.95" customHeight="1" thickBot="1" x14ac:dyDescent="0.45"/>
    <row r="2" spans="1:42" ht="24.95" customHeight="1" x14ac:dyDescent="0.4">
      <c r="A2" s="9"/>
      <c r="B2" s="317" t="str">
        <f>"Výsledky - Soutěže "&amp;Uvod!A17&amp;" kola NHHL "&amp;TEXT(Uvod!B17,"d.m. rrrr")&amp;" "&amp;Uvod!C17&amp;" - MUŽI "</f>
        <v xml:space="preserve">Výsledky - Soutěže 15. kola NHHL 0.1. 1900  - MUŽI </v>
      </c>
      <c r="C2" s="318"/>
      <c r="D2" s="318"/>
      <c r="E2" s="318"/>
      <c r="F2" s="318"/>
      <c r="G2" s="318"/>
      <c r="H2" s="318"/>
      <c r="I2" s="318"/>
      <c r="J2" s="319"/>
      <c r="K2" s="177"/>
      <c r="L2" s="177"/>
      <c r="M2" s="15"/>
      <c r="N2" s="308" t="str">
        <f>"Výsledky - Soutěže "&amp;Uvod!A17&amp;" kola NHHL "&amp;TEXT(Uvod!B17,"d.m. rrrr")&amp;" "&amp;Uvod!C17&amp;" - ŽENY "</f>
        <v xml:space="preserve">Výsledky - Soutěže 15. kola NHHL 0.1. 1900  - ŽENY </v>
      </c>
      <c r="O2" s="309"/>
      <c r="P2" s="309"/>
      <c r="Q2" s="309"/>
      <c r="R2" s="309"/>
      <c r="S2" s="309"/>
      <c r="T2" s="320"/>
      <c r="U2" s="320"/>
      <c r="V2" s="310"/>
      <c r="W2" s="180"/>
      <c r="X2" s="180"/>
      <c r="Y2" s="15"/>
      <c r="Z2" s="324" t="str">
        <f>B2</f>
        <v xml:space="preserve">Výsledky - Soutěže 15. kola NHHL 0.1. 1900  - MUŽI </v>
      </c>
      <c r="AA2" s="325"/>
      <c r="AB2" s="325"/>
      <c r="AC2" s="325"/>
      <c r="AD2" s="325"/>
      <c r="AE2" s="325"/>
      <c r="AF2" s="326"/>
      <c r="AH2" s="317" t="s">
        <v>149</v>
      </c>
      <c r="AI2" s="318"/>
      <c r="AJ2" s="318"/>
      <c r="AK2" s="318"/>
      <c r="AL2" s="319"/>
    </row>
    <row r="3" spans="1:42" ht="24.95" customHeight="1" x14ac:dyDescent="0.4">
      <c r="B3" s="21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3" t="s">
        <v>5</v>
      </c>
      <c r="H3" s="22" t="s">
        <v>108</v>
      </c>
      <c r="I3" s="22" t="s">
        <v>103</v>
      </c>
      <c r="J3" s="1" t="s">
        <v>27</v>
      </c>
      <c r="N3" s="28" t="s">
        <v>0</v>
      </c>
      <c r="O3" s="24" t="s">
        <v>1</v>
      </c>
      <c r="P3" s="24" t="s">
        <v>2</v>
      </c>
      <c r="Q3" s="24" t="s">
        <v>3</v>
      </c>
      <c r="R3" s="24" t="s">
        <v>4</v>
      </c>
      <c r="S3" s="24" t="s">
        <v>5</v>
      </c>
      <c r="T3" s="233" t="s">
        <v>108</v>
      </c>
      <c r="U3" s="233" t="s">
        <v>103</v>
      </c>
      <c r="V3" s="29" t="s">
        <v>27</v>
      </c>
      <c r="Y3" s="15"/>
      <c r="Z3" s="31" t="s">
        <v>1</v>
      </c>
      <c r="AA3" s="25" t="s">
        <v>2</v>
      </c>
      <c r="AB3" s="25" t="s">
        <v>3</v>
      </c>
      <c r="AC3" s="25" t="s">
        <v>4</v>
      </c>
      <c r="AD3" s="25" t="s">
        <v>5</v>
      </c>
      <c r="AE3" s="25" t="s">
        <v>27</v>
      </c>
      <c r="AF3" s="29" t="s">
        <v>7</v>
      </c>
      <c r="AH3" s="31" t="s">
        <v>1</v>
      </c>
      <c r="AI3" s="25" t="s">
        <v>2</v>
      </c>
      <c r="AJ3" s="25" t="s">
        <v>7</v>
      </c>
      <c r="AK3" s="46" t="s">
        <v>27</v>
      </c>
      <c r="AL3" s="95" t="s">
        <v>73</v>
      </c>
      <c r="AP3" s="1"/>
    </row>
    <row r="4" spans="1:42" ht="24.95" customHeight="1" x14ac:dyDescent="0.4">
      <c r="B4" s="6"/>
      <c r="C4" s="1" t="str">
        <f>IF(Tabulka17101325313743495561677379859197[[#This Row],[ ]]="","",IF(Tabulka17101325313743495561677379859197[[#This Row],[ ]]="NEÚČAST","",IF(OR(Tabulka17101325313743495561677379859197[Výsledný čas]="N",Tabulka17101325313743495561677379859197[Výsledný čas]="D"),$L$4-$L$5,_xlfn.RANK.EQ(Tabulka17101325313743495561677379859197[[#This Row],[ ]],Tabulka17101325313743495561677379859197[[ ]],1))))</f>
        <v/>
      </c>
      <c r="D4" s="7"/>
      <c r="E4" s="8"/>
      <c r="F4" s="8"/>
      <c r="G4" s="9" t="str">
        <f>IF(OR(Tabulka17101325313743495561677379859197[[#This Row],[LP]]="N",Tabulka17101325313743495561677379859197[[#This Row],[PP]]="N"),"N",IF(OR(Tabulka17101325313743495561677379859197[[#This Row],[LP]]="D",Tabulka17101325313743495561677379859197[[#This Row],[PP]]="D"),"D",IF(OR(Tabulka17101325313743495561677379859197[[#This Row],[LP]]="NEÚČAST",Tabulka17101325313743495561677379859197[[#This Row],[PP]]="NEÚČAST"),"NEÚČAST",IF(OR(Tabulka17101325313743495561677379859197[[#This Row],[LP]]="",Tabulka17101325313743495561677379859197[[#This Row],[PP]]=""),"",MAX(Tabulka17101325313743495561677379859197[[#This Row],[LP]:[PP]])))))</f>
        <v/>
      </c>
      <c r="H4" s="1">
        <f>COUNTIF(Tabulka17101325313743495561677379859197[[#This Row],[Tým]],"*")</f>
        <v>0</v>
      </c>
      <c r="I4" s="1">
        <f>COUNTIF(Tabulka17101325313743495561677379859197[[#This Row],[Výsledný čas]],"NEÚČAST")</f>
        <v>0</v>
      </c>
      <c r="J4" s="1" t="str">
        <f>IF(Tabulka17101325313743495561677379859197[[#This Row],[Výsledný čas]]="N",998,IF(Tabulka17101325313743495561677379859197[[#This Row],[Výsledný čas]]="D",998,IF(Tabulka17101325313743495561677379859197[[#This Row],[Výsledný čas]]="","",Tabulka17101325313743495561677379859197[[#This Row],[Výsledný čas]])))</f>
        <v/>
      </c>
      <c r="L4" s="1">
        <f>SUM(Tabulka17101325313743495561677379859197[ÚČAST])</f>
        <v>0</v>
      </c>
      <c r="N4" s="30"/>
      <c r="O4" s="25" t="str">
        <f>IF(Tabulka1710136303642485460667278849096102[[#This Row],[ ]]="","",IF(Tabulka1710136303642485460667278849096102[[#This Row],[ ]]="NEÚČAST","",IF(OR(Tabulka1710136303642485460667278849096102[Výsledný čas]="N",Tabulka1710136303642485460667278849096102[Výsledný čas]="D"),$X$4-$X$5,_xlfn.RANK.EQ(Tabulka1710136303642485460667278849096102[[#This Row],[ ]],Tabulka1710136303642485460667278849096102[[ ]],1))))</f>
        <v/>
      </c>
      <c r="P4" s="26"/>
      <c r="Q4" s="5"/>
      <c r="R4" s="5"/>
      <c r="S4" s="25" t="str">
        <f>IF(OR(Tabulka1710136303642485460667278849096102[[#This Row],[LP]]="N",Tabulka1710136303642485460667278849096102[[#This Row],[PP]]="N"),"N",IF(OR(Tabulka1710136303642485460667278849096102[[#This Row],[LP]]="D",Tabulka1710136303642485460667278849096102[[#This Row],[PP]]="D"),"D",IF(OR(Tabulka1710136303642485460667278849096102[[#This Row],[LP]]="NEÚČAST",Tabulka1710136303642485460667278849096102[[#This Row],[PP]]="NEÚČAST"),"NEÚČAST",IF(OR(Tabulka1710136303642485460667278849096102[[#This Row],[LP]]="",Tabulka1710136303642485460667278849096102[[#This Row],[PP]]=""),"",MAX(Tabulka1710136303642485460667278849096102[[#This Row],[LP]:[PP]])))))</f>
        <v/>
      </c>
      <c r="T4" s="46">
        <f>COUNTIF(Tabulka1710136303642485460667278849096102[[#This Row],[Tým]],"*")</f>
        <v>0</v>
      </c>
      <c r="U4" s="46">
        <f>COUNTIF(Tabulka1710136303642485460667278849096102[[#This Row],[Výsledný čas]],"NEÚČAST")</f>
        <v>0</v>
      </c>
      <c r="V4" s="29" t="str">
        <f>IF(Tabulka1710136303642485460667278849096102[[#This Row],[Výsledný čas]]="N",998,IF(Tabulka1710136303642485460667278849096102[[#This Row],[Výsledný čas]]="D",998,IF(Tabulka1710136303642485460667278849096102[[#This Row],[Výsledný čas]]="","",Tabulka1710136303642485460667278849096102[[#This Row],[Výsledný čas]])))</f>
        <v/>
      </c>
      <c r="X4" s="1">
        <f>SUM(Tabulka1710136303642485460667278849096102[ÚČAST])</f>
        <v>0</v>
      </c>
      <c r="Y4" s="15"/>
      <c r="Z4" s="31" t="e">
        <f>IF(OR(Tabulka38111426323844505662687480869298[Výsledný čas]="N",Tabulka38111426323844505662687480869298[Výsledný čas]="D",Tabulka38111426323844505662687480869298[Výsledný čas]="NEÚČAST"),Uvod!$E$4,_xlfn.RANK.EQ(Tabulka38111426323844505662687480869298[[#This Row],[ ]],Tabulka38111426323844505662687480869298[[ ]],1))</f>
        <v>#N/A</v>
      </c>
      <c r="AA4" s="27"/>
      <c r="AB4" s="44" t="e">
        <f>VLOOKUP(Tabulka38111426323844505662687480869298[[#This Row],[Tým]],Tabulka17101325313743495561677379859197[[Tým]:[ ]],2,FALSE)</f>
        <v>#N/A</v>
      </c>
      <c r="AC4" s="44" t="e">
        <f>VLOOKUP(Tabulka38111426323844505662687480869298[[#This Row],[Tým]],Tabulka17101325313743495561677379859197[[Tým]:[ ]],3,FALSE)</f>
        <v>#N/A</v>
      </c>
      <c r="AD4" s="25" t="e">
        <f>VLOOKUP(Tabulka38111426323844505662687480869298[[#This Row],[Tým]],Tabulka17101325313743495561677379859197[[Tým]:[ ]],4,FALSE)</f>
        <v>#N/A</v>
      </c>
      <c r="AE4" s="25" t="e">
        <f>VLOOKUP(Tabulka38111426323844505662687480869298[[#This Row],[Tým]],Tabulka17101325313743495561677379859197[[Tým]:[ ]],7,FALSE)</f>
        <v>#N/A</v>
      </c>
      <c r="AF4" s="29" t="e">
        <f>IF(Tabulka38111426323844505662687480869298[[#This Row],[Výsledný čas]]="N",5,IF(Tabulka38111426323844505662687480869298[[#This Row],[Výsledný čas]]="D",0,IF(Tabulka38111426323844505662687480869298[[#This Row],[Výsledný čas]]="NEÚČAST",0,Tabulka4[[#Totals],[Týmy muži]]+6-Tabulka38111426323844505662687480869298[[#This Row],[Umístění]])))</f>
        <v>#N/A</v>
      </c>
      <c r="AH4" s="31" t="e">
        <f>_xlfn.RANK.EQ(Tabulka59121527333945515763697581879399[[#This Row],[Body]],Tabulka59121527333945515763697581879399[Body],0)</f>
        <v>#N/A</v>
      </c>
      <c r="AI4" s="27"/>
      <c r="AJ4" s="25" t="e">
        <f>VLOOKUP(Tabulka59121527333945515763697581879399[[#This Row],[Tým]],Tabulka38111426323844505662687480869298[[Tým]:[Body]],6,FALSE)+Tabulka59121527333945515763697581879399[[#This Row],[ ]]</f>
        <v>#N/A</v>
      </c>
      <c r="AK4" s="47" t="e">
        <f>VLOOKUP(Tabulka59121527333945515763697581879399[[#This Row],[Tým]],Tabulka591215273339455157636975818793[[Tým]:[Body]],2,FALSE)</f>
        <v>#N/A</v>
      </c>
      <c r="AL4" s="96" t="e">
        <f>Tabulka59121527333945515763697581879399[[#This Row],[Umístění]]</f>
        <v>#N/A</v>
      </c>
      <c r="AP4" s="1"/>
    </row>
    <row r="5" spans="1:42" ht="24.95" customHeight="1" x14ac:dyDescent="0.4">
      <c r="B5" s="6"/>
      <c r="C5" s="1" t="str">
        <f>IF(Tabulka17101325313743495561677379859197[[#This Row],[ ]]="","",IF(Tabulka17101325313743495561677379859197[[#This Row],[ ]]="NEÚČAST","",IF(OR(Tabulka17101325313743495561677379859197[Výsledný čas]="N",Tabulka17101325313743495561677379859197[Výsledný čas]="D"),$L$4-$L$5,_xlfn.RANK.EQ(Tabulka17101325313743495561677379859197[[#This Row],[ ]],Tabulka17101325313743495561677379859197[[ ]],1))))</f>
        <v/>
      </c>
      <c r="D5" s="7"/>
      <c r="E5" s="8"/>
      <c r="F5" s="8"/>
      <c r="G5" s="9" t="str">
        <f>IF(OR(Tabulka17101325313743495561677379859197[[#This Row],[LP]]="N",Tabulka17101325313743495561677379859197[[#This Row],[PP]]="N"),"N",IF(OR(Tabulka17101325313743495561677379859197[[#This Row],[LP]]="D",Tabulka17101325313743495561677379859197[[#This Row],[PP]]="D"),"D",IF(OR(Tabulka17101325313743495561677379859197[[#This Row],[LP]]="NEÚČAST",Tabulka17101325313743495561677379859197[[#This Row],[PP]]="NEÚČAST"),"NEÚČAST",IF(OR(Tabulka17101325313743495561677379859197[[#This Row],[LP]]="",Tabulka17101325313743495561677379859197[[#This Row],[PP]]=""),"",MAX(Tabulka17101325313743495561677379859197[[#This Row],[LP]:[PP]])))))</f>
        <v/>
      </c>
      <c r="H5" s="1">
        <f>COUNTIF(Tabulka17101325313743495561677379859197[[#This Row],[Tým]],"*")</f>
        <v>0</v>
      </c>
      <c r="I5" s="1">
        <f>COUNTIF(Tabulka17101325313743495561677379859197[[#This Row],[Výsledný čas]],"NEÚČAST")</f>
        <v>0</v>
      </c>
      <c r="J5" s="1" t="str">
        <f>IF(Tabulka17101325313743495561677379859197[[#This Row],[Výsledný čas]]="N",998,IF(Tabulka17101325313743495561677379859197[[#This Row],[Výsledný čas]]="D",998,IF(Tabulka17101325313743495561677379859197[[#This Row],[Výsledný čas]]="","",Tabulka17101325313743495561677379859197[[#This Row],[Výsledný čas]])))</f>
        <v/>
      </c>
      <c r="L5" s="1">
        <f>SUM(Tabulka17101325313743495561677379859197[NEÚČAST])</f>
        <v>0</v>
      </c>
      <c r="N5" s="30"/>
      <c r="O5" s="25" t="str">
        <f>IF(Tabulka1710136303642485460667278849096102[[#This Row],[ ]]="","",IF(Tabulka1710136303642485460667278849096102[[#This Row],[ ]]="NEÚČAST","",IF(OR(Tabulka1710136303642485460667278849096102[Výsledný čas]="N",Tabulka1710136303642485460667278849096102[Výsledný čas]="D"),$X$4-$X$5,_xlfn.RANK.EQ(Tabulka1710136303642485460667278849096102[[#This Row],[ ]],Tabulka1710136303642485460667278849096102[[ ]],1))))</f>
        <v/>
      </c>
      <c r="P5" s="26"/>
      <c r="Q5" s="5"/>
      <c r="R5" s="5"/>
      <c r="S5" s="25" t="str">
        <f>IF(OR(Tabulka1710136303642485460667278849096102[[#This Row],[LP]]="N",Tabulka1710136303642485460667278849096102[[#This Row],[PP]]="N"),"N",IF(OR(Tabulka1710136303642485460667278849096102[[#This Row],[LP]]="D",Tabulka1710136303642485460667278849096102[[#This Row],[PP]]="D"),"D",IF(OR(Tabulka1710136303642485460667278849096102[[#This Row],[LP]]="NEÚČAST",Tabulka1710136303642485460667278849096102[[#This Row],[PP]]="NEÚČAST"),"NEÚČAST",IF(OR(Tabulka1710136303642485460667278849096102[[#This Row],[LP]]="",Tabulka1710136303642485460667278849096102[[#This Row],[PP]]=""),"",MAX(Tabulka1710136303642485460667278849096102[[#This Row],[LP]:[PP]])))))</f>
        <v/>
      </c>
      <c r="T5" s="46">
        <f>COUNTIF(Tabulka1710136303642485460667278849096102[[#This Row],[Tým]],"*")</f>
        <v>0</v>
      </c>
      <c r="U5" s="46">
        <f>COUNTIF(Tabulka1710136303642485460667278849096102[[#This Row],[Výsledný čas]],"NEÚČAST")</f>
        <v>0</v>
      </c>
      <c r="V5" s="29" t="str">
        <f>IF(Tabulka1710136303642485460667278849096102[[#This Row],[Výsledný čas]]="N",998,IF(Tabulka1710136303642485460667278849096102[[#This Row],[Výsledný čas]]="D",998,IF(Tabulka1710136303642485460667278849096102[[#This Row],[Výsledný čas]]="","",Tabulka1710136303642485460667278849096102[[#This Row],[Výsledný čas]])))</f>
        <v/>
      </c>
      <c r="X5" s="1">
        <f>SUM(Tabulka1710136303642485460667278849096102[NEÚČAST])</f>
        <v>0</v>
      </c>
      <c r="Y5" s="15"/>
      <c r="Z5" s="31" t="e">
        <f>IF(OR(Tabulka38111426323844505662687480869298[Výsledný čas]="N",Tabulka38111426323844505662687480869298[Výsledný čas]="D",Tabulka38111426323844505662687480869298[Výsledný čas]="NEÚČAST"),Uvod!$E$4,_xlfn.RANK.EQ(Tabulka38111426323844505662687480869298[[#This Row],[ ]],Tabulka38111426323844505662687480869298[[ ]],1))</f>
        <v>#N/A</v>
      </c>
      <c r="AA5" s="27"/>
      <c r="AB5" s="44" t="e">
        <f>VLOOKUP(Tabulka38111426323844505662687480869298[[#This Row],[Tým]],Tabulka17101325313743495561677379859197[[Tým]:[ ]],2,FALSE)</f>
        <v>#N/A</v>
      </c>
      <c r="AC5" s="44" t="e">
        <f>VLOOKUP(Tabulka38111426323844505662687480869298[[#This Row],[Tým]],Tabulka17101325313743495561677379859197[[Tým]:[ ]],3,FALSE)</f>
        <v>#N/A</v>
      </c>
      <c r="AD5" s="25" t="e">
        <f>VLOOKUP(Tabulka38111426323844505662687480869298[[#This Row],[Tým]],Tabulka17101325313743495561677379859197[[Tým]:[ ]],4,FALSE)</f>
        <v>#N/A</v>
      </c>
      <c r="AE5" s="25" t="e">
        <f>VLOOKUP(Tabulka38111426323844505662687480869298[[#This Row],[Tým]],Tabulka17101325313743495561677379859197[[Tým]:[ ]],7,FALSE)</f>
        <v>#N/A</v>
      </c>
      <c r="AF5" s="29" t="e">
        <f>IF(Tabulka38111426323844505662687480869298[[#This Row],[Výsledný čas]]="N",5,IF(Tabulka38111426323844505662687480869298[[#This Row],[Výsledný čas]]="D",0,IF(Tabulka38111426323844505662687480869298[[#This Row],[Výsledný čas]]="NEÚČAST",0,Tabulka4[[#Totals],[Týmy muži]]+6-Tabulka38111426323844505662687480869298[[#This Row],[Umístění]])))</f>
        <v>#N/A</v>
      </c>
      <c r="AH5" s="31" t="e">
        <f>_xlfn.RANK.EQ(Tabulka59121527333945515763697581879399[[#This Row],[Body]],Tabulka59121527333945515763697581879399[Body],0)</f>
        <v>#N/A</v>
      </c>
      <c r="AI5" s="27"/>
      <c r="AJ5" s="25" t="e">
        <f>VLOOKUP(Tabulka59121527333945515763697581879399[[#This Row],[Tým]],Tabulka38111426323844505662687480869298[[Tým]:[Body]],6,FALSE)+Tabulka59121527333945515763697581879399[[#This Row],[ ]]</f>
        <v>#N/A</v>
      </c>
      <c r="AK5" s="47" t="e">
        <f>VLOOKUP(Tabulka59121527333945515763697581879399[[#This Row],[Tým]],Tabulka591215273339455157636975818793[[Tým]:[Body]],2,FALSE)</f>
        <v>#N/A</v>
      </c>
      <c r="AL5" s="39" t="e">
        <f>Tabulka59121527333945515763697581879399[[#This Row],[Umístění]]</f>
        <v>#N/A</v>
      </c>
      <c r="AP5" s="1"/>
    </row>
    <row r="6" spans="1:42" ht="24.95" customHeight="1" x14ac:dyDescent="0.4">
      <c r="B6" s="6"/>
      <c r="C6" s="1" t="str">
        <f>IF(Tabulka17101325313743495561677379859197[[#This Row],[ ]]="","",IF(Tabulka17101325313743495561677379859197[[#This Row],[ ]]="NEÚČAST","",IF(OR(Tabulka17101325313743495561677379859197[Výsledný čas]="N",Tabulka17101325313743495561677379859197[Výsledný čas]="D"),$L$4-$L$5,_xlfn.RANK.EQ(Tabulka17101325313743495561677379859197[[#This Row],[ ]],Tabulka17101325313743495561677379859197[[ ]],1))))</f>
        <v/>
      </c>
      <c r="D6" s="7"/>
      <c r="E6" s="8"/>
      <c r="F6" s="8"/>
      <c r="G6" s="9" t="str">
        <f>IF(OR(Tabulka17101325313743495561677379859197[[#This Row],[LP]]="N",Tabulka17101325313743495561677379859197[[#This Row],[PP]]="N"),"N",IF(OR(Tabulka17101325313743495561677379859197[[#This Row],[LP]]="D",Tabulka17101325313743495561677379859197[[#This Row],[PP]]="D"),"D",IF(OR(Tabulka17101325313743495561677379859197[[#This Row],[LP]]="NEÚČAST",Tabulka17101325313743495561677379859197[[#This Row],[PP]]="NEÚČAST"),"NEÚČAST",IF(OR(Tabulka17101325313743495561677379859197[[#This Row],[LP]]="",Tabulka17101325313743495561677379859197[[#This Row],[PP]]=""),"",MAX(Tabulka17101325313743495561677379859197[[#This Row],[LP]:[PP]])))))</f>
        <v/>
      </c>
      <c r="H6" s="1">
        <f>COUNTIF(Tabulka17101325313743495561677379859197[[#This Row],[Tým]],"*")</f>
        <v>0</v>
      </c>
      <c r="I6" s="1">
        <f>COUNTIF(Tabulka17101325313743495561677379859197[[#This Row],[Výsledný čas]],"NEÚČAST")</f>
        <v>0</v>
      </c>
      <c r="J6" s="1" t="str">
        <f>IF(Tabulka17101325313743495561677379859197[[#This Row],[Výsledný čas]]="N",998,IF(Tabulka17101325313743495561677379859197[[#This Row],[Výsledný čas]]="D",998,IF(Tabulka17101325313743495561677379859197[[#This Row],[Výsledný čas]]="","",Tabulka17101325313743495561677379859197[[#This Row],[Výsledný čas]])))</f>
        <v/>
      </c>
      <c r="N6" s="30"/>
      <c r="O6" s="25" t="str">
        <f>IF(Tabulka1710136303642485460667278849096102[[#This Row],[ ]]="","",IF(Tabulka1710136303642485460667278849096102[[#This Row],[ ]]="NEÚČAST","",IF(OR(Tabulka1710136303642485460667278849096102[Výsledný čas]="N",Tabulka1710136303642485460667278849096102[Výsledný čas]="D"),$X$4-$X$5,_xlfn.RANK.EQ(Tabulka1710136303642485460667278849096102[[#This Row],[ ]],Tabulka1710136303642485460667278849096102[[ ]],1))))</f>
        <v/>
      </c>
      <c r="P6" s="26"/>
      <c r="Q6" s="5"/>
      <c r="R6" s="5"/>
      <c r="S6" s="25" t="str">
        <f>IF(OR(Tabulka1710136303642485460667278849096102[[#This Row],[LP]]="N",Tabulka1710136303642485460667278849096102[[#This Row],[PP]]="N"),"N",IF(OR(Tabulka1710136303642485460667278849096102[[#This Row],[LP]]="D",Tabulka1710136303642485460667278849096102[[#This Row],[PP]]="D"),"D",IF(OR(Tabulka1710136303642485460667278849096102[[#This Row],[LP]]="NEÚČAST",Tabulka1710136303642485460667278849096102[[#This Row],[PP]]="NEÚČAST"),"NEÚČAST",IF(OR(Tabulka1710136303642485460667278849096102[[#This Row],[LP]]="",Tabulka1710136303642485460667278849096102[[#This Row],[PP]]=""),"",MAX(Tabulka1710136303642485460667278849096102[[#This Row],[LP]:[PP]])))))</f>
        <v/>
      </c>
      <c r="T6" s="46">
        <f>COUNTIF(Tabulka1710136303642485460667278849096102[[#This Row],[Tým]],"*")</f>
        <v>0</v>
      </c>
      <c r="U6" s="46">
        <f>COUNTIF(Tabulka1710136303642485460667278849096102[[#This Row],[Výsledný čas]],"NEÚČAST")</f>
        <v>0</v>
      </c>
      <c r="V6" s="29" t="str">
        <f>IF(Tabulka1710136303642485460667278849096102[[#This Row],[Výsledný čas]]="N",998,IF(Tabulka1710136303642485460667278849096102[[#This Row],[Výsledný čas]]="D",998,IF(Tabulka1710136303642485460667278849096102[[#This Row],[Výsledný čas]]="","",Tabulka1710136303642485460667278849096102[[#This Row],[Výsledný čas]])))</f>
        <v/>
      </c>
      <c r="Y6" s="15"/>
      <c r="Z6" s="31" t="e">
        <f>IF(OR(Tabulka38111426323844505662687480869298[Výsledný čas]="N",Tabulka38111426323844505662687480869298[Výsledný čas]="D",Tabulka38111426323844505662687480869298[Výsledný čas]="NEÚČAST"),Uvod!$E$4,_xlfn.RANK.EQ(Tabulka38111426323844505662687480869298[[#This Row],[ ]],Tabulka38111426323844505662687480869298[[ ]],1))</f>
        <v>#N/A</v>
      </c>
      <c r="AA6" s="27"/>
      <c r="AB6" s="44" t="e">
        <f>VLOOKUP(Tabulka38111426323844505662687480869298[[#This Row],[Tým]],Tabulka17101325313743495561677379859197[[Tým]:[ ]],2,FALSE)</f>
        <v>#N/A</v>
      </c>
      <c r="AC6" s="44" t="e">
        <f>VLOOKUP(Tabulka38111426323844505662687480869298[[#This Row],[Tým]],Tabulka17101325313743495561677379859197[[Tým]:[ ]],3,FALSE)</f>
        <v>#N/A</v>
      </c>
      <c r="AD6" s="25" t="e">
        <f>VLOOKUP(Tabulka38111426323844505662687480869298[[#This Row],[Tým]],Tabulka17101325313743495561677379859197[[Tým]:[ ]],4,FALSE)</f>
        <v>#N/A</v>
      </c>
      <c r="AE6" s="25" t="e">
        <f>VLOOKUP(Tabulka38111426323844505662687480869298[[#This Row],[Tým]],Tabulka17101325313743495561677379859197[[Tým]:[ ]],7,FALSE)</f>
        <v>#N/A</v>
      </c>
      <c r="AF6" s="29" t="e">
        <f>IF(Tabulka38111426323844505662687480869298[[#This Row],[Výsledný čas]]="N",5,IF(Tabulka38111426323844505662687480869298[[#This Row],[Výsledný čas]]="D",0,IF(Tabulka38111426323844505662687480869298[[#This Row],[Výsledný čas]]="NEÚČAST",0,Tabulka4[[#Totals],[Týmy muži]]+6-Tabulka38111426323844505662687480869298[[#This Row],[Umístění]])))</f>
        <v>#N/A</v>
      </c>
      <c r="AH6" s="31" t="e">
        <f>_xlfn.RANK.EQ(Tabulka59121527333945515763697581879399[[#This Row],[Body]],Tabulka59121527333945515763697581879399[Body],0)</f>
        <v>#N/A</v>
      </c>
      <c r="AI6" s="27"/>
      <c r="AJ6" s="25" t="e">
        <f>VLOOKUP(Tabulka59121527333945515763697581879399[[#This Row],[Tým]],Tabulka38111426323844505662687480869298[[Tým]:[Body]],6,FALSE)+Tabulka59121527333945515763697581879399[[#This Row],[ ]]</f>
        <v>#N/A</v>
      </c>
      <c r="AK6" s="47" t="e">
        <f>VLOOKUP(Tabulka59121527333945515763697581879399[[#This Row],[Tým]],Tabulka591215273339455157636975818793[[Tým]:[Body]],2,FALSE)</f>
        <v>#N/A</v>
      </c>
      <c r="AL6" s="39" t="e">
        <f>Tabulka59121527333945515763697581879399[[#This Row],[Umístění]]</f>
        <v>#N/A</v>
      </c>
      <c r="AP6" s="1"/>
    </row>
    <row r="7" spans="1:42" ht="24.95" customHeight="1" x14ac:dyDescent="0.4">
      <c r="B7" s="6"/>
      <c r="C7" s="1" t="str">
        <f>IF(Tabulka17101325313743495561677379859197[[#This Row],[ ]]="","",IF(Tabulka17101325313743495561677379859197[[#This Row],[ ]]="NEÚČAST","",IF(OR(Tabulka17101325313743495561677379859197[Výsledný čas]="N",Tabulka17101325313743495561677379859197[Výsledný čas]="D"),$L$4-$L$5,_xlfn.RANK.EQ(Tabulka17101325313743495561677379859197[[#This Row],[ ]],Tabulka17101325313743495561677379859197[[ ]],1))))</f>
        <v/>
      </c>
      <c r="D7" s="10"/>
      <c r="E7" s="8"/>
      <c r="F7" s="8"/>
      <c r="G7" s="9" t="str">
        <f>IF(OR(Tabulka17101325313743495561677379859197[[#This Row],[LP]]="N",Tabulka17101325313743495561677379859197[[#This Row],[PP]]="N"),"N",IF(OR(Tabulka17101325313743495561677379859197[[#This Row],[LP]]="D",Tabulka17101325313743495561677379859197[[#This Row],[PP]]="D"),"D",IF(OR(Tabulka17101325313743495561677379859197[[#This Row],[LP]]="NEÚČAST",Tabulka17101325313743495561677379859197[[#This Row],[PP]]="NEÚČAST"),"NEÚČAST",IF(OR(Tabulka17101325313743495561677379859197[[#This Row],[LP]]="",Tabulka17101325313743495561677379859197[[#This Row],[PP]]=""),"",MAX(Tabulka17101325313743495561677379859197[[#This Row],[LP]:[PP]])))))</f>
        <v/>
      </c>
      <c r="H7" s="1">
        <f>COUNTIF(Tabulka17101325313743495561677379859197[[#This Row],[Tým]],"*")</f>
        <v>0</v>
      </c>
      <c r="I7" s="1">
        <f>COUNTIF(Tabulka17101325313743495561677379859197[[#This Row],[Výsledný čas]],"NEÚČAST")</f>
        <v>0</v>
      </c>
      <c r="J7" s="1" t="str">
        <f>IF(Tabulka17101325313743495561677379859197[[#This Row],[Výsledný čas]]="N",998,IF(Tabulka17101325313743495561677379859197[[#This Row],[Výsledný čas]]="D",998,IF(Tabulka17101325313743495561677379859197[[#This Row],[Výsledný čas]]="","",Tabulka17101325313743495561677379859197[[#This Row],[Výsledný čas]])))</f>
        <v/>
      </c>
      <c r="N7" s="31"/>
      <c r="O7" s="25" t="str">
        <f>IF(Tabulka1710136303642485460667278849096102[[#This Row],[ ]]="","",IF(Tabulka1710136303642485460667278849096102[[#This Row],[ ]]="NEÚČAST","",IF(OR(Tabulka1710136303642485460667278849096102[Výsledný čas]="N",Tabulka1710136303642485460667278849096102[Výsledný čas]="D"),$X$4-$X$5,_xlfn.RANK.EQ(Tabulka1710136303642485460667278849096102[[#This Row],[ ]],Tabulka1710136303642485460667278849096102[[ ]],1))))</f>
        <v/>
      </c>
      <c r="P7" s="26"/>
      <c r="Q7" s="5"/>
      <c r="R7" s="5"/>
      <c r="S7" s="25" t="str">
        <f>IF(OR(Tabulka1710136303642485460667278849096102[[#This Row],[LP]]="N",Tabulka1710136303642485460667278849096102[[#This Row],[PP]]="N"),"N",IF(OR(Tabulka1710136303642485460667278849096102[[#This Row],[LP]]="D",Tabulka1710136303642485460667278849096102[[#This Row],[PP]]="D"),"D",IF(OR(Tabulka1710136303642485460667278849096102[[#This Row],[LP]]="NEÚČAST",Tabulka1710136303642485460667278849096102[[#This Row],[PP]]="NEÚČAST"),"NEÚČAST",IF(OR(Tabulka1710136303642485460667278849096102[[#This Row],[LP]]="",Tabulka1710136303642485460667278849096102[[#This Row],[PP]]=""),"",MAX(Tabulka1710136303642485460667278849096102[[#This Row],[LP]:[PP]])))))</f>
        <v/>
      </c>
      <c r="T7" s="46">
        <f>COUNTIF(Tabulka1710136303642485460667278849096102[[#This Row],[Tým]],"*")</f>
        <v>0</v>
      </c>
      <c r="U7" s="46">
        <f>COUNTIF(Tabulka1710136303642485460667278849096102[[#This Row],[Výsledný čas]],"NEÚČAST")</f>
        <v>0</v>
      </c>
      <c r="V7" s="29" t="str">
        <f>IF(Tabulka1710136303642485460667278849096102[[#This Row],[Výsledný čas]]="N",998,IF(Tabulka1710136303642485460667278849096102[[#This Row],[Výsledný čas]]="D",998,IF(Tabulka1710136303642485460667278849096102[[#This Row],[Výsledný čas]]="","",Tabulka1710136303642485460667278849096102[[#This Row],[Výsledný čas]])))</f>
        <v/>
      </c>
      <c r="Y7" s="15"/>
      <c r="Z7" s="31" t="e">
        <f>IF(OR(Tabulka38111426323844505662687480869298[Výsledný čas]="N",Tabulka38111426323844505662687480869298[Výsledný čas]="D",Tabulka38111426323844505662687480869298[Výsledný čas]="NEÚČAST"),Uvod!$E$4,_xlfn.RANK.EQ(Tabulka38111426323844505662687480869298[[#This Row],[ ]],Tabulka38111426323844505662687480869298[[ ]],1))</f>
        <v>#N/A</v>
      </c>
      <c r="AA7" s="27"/>
      <c r="AB7" s="44" t="e">
        <f>VLOOKUP(Tabulka38111426323844505662687480869298[[#This Row],[Tým]],Tabulka17101325313743495561677379859197[[Tým]:[ ]],2,FALSE)</f>
        <v>#N/A</v>
      </c>
      <c r="AC7" s="44" t="e">
        <f>VLOOKUP(Tabulka38111426323844505662687480869298[[#This Row],[Tým]],Tabulka17101325313743495561677379859197[[Tým]:[ ]],3,FALSE)</f>
        <v>#N/A</v>
      </c>
      <c r="AD7" s="25" t="e">
        <f>VLOOKUP(Tabulka38111426323844505662687480869298[[#This Row],[Tým]],Tabulka17101325313743495561677379859197[[Tým]:[ ]],4,FALSE)</f>
        <v>#N/A</v>
      </c>
      <c r="AE7" s="25" t="e">
        <f>VLOOKUP(Tabulka38111426323844505662687480869298[[#This Row],[Tým]],Tabulka17101325313743495561677379859197[[Tým]:[ ]],7,FALSE)</f>
        <v>#N/A</v>
      </c>
      <c r="AF7" s="29" t="e">
        <f>IF(Tabulka38111426323844505662687480869298[[#This Row],[Výsledný čas]]="N",5,IF(Tabulka38111426323844505662687480869298[[#This Row],[Výsledný čas]]="D",0,IF(Tabulka38111426323844505662687480869298[[#This Row],[Výsledný čas]]="NEÚČAST",0,Tabulka4[[#Totals],[Týmy muži]]+6-Tabulka38111426323844505662687480869298[[#This Row],[Umístění]])))</f>
        <v>#N/A</v>
      </c>
      <c r="AH7" s="31" t="e">
        <f>_xlfn.RANK.EQ(Tabulka59121527333945515763697581879399[[#This Row],[Body]],Tabulka59121527333945515763697581879399[Body],0)</f>
        <v>#N/A</v>
      </c>
      <c r="AI7" s="27"/>
      <c r="AJ7" s="25" t="e">
        <f>VLOOKUP(Tabulka59121527333945515763697581879399[[#This Row],[Tým]],Tabulka38111426323844505662687480869298[[Tým]:[Body]],6,FALSE)+Tabulka59121527333945515763697581879399[[#This Row],[ ]]</f>
        <v>#N/A</v>
      </c>
      <c r="AK7" s="47" t="e">
        <f>VLOOKUP(Tabulka59121527333945515763697581879399[[#This Row],[Tým]],Tabulka591215273339455157636975818793[[Tým]:[Body]],2,FALSE)</f>
        <v>#N/A</v>
      </c>
      <c r="AL7" s="39" t="e">
        <f>Tabulka59121527333945515763697581879399[[#This Row],[Umístění]]</f>
        <v>#N/A</v>
      </c>
      <c r="AP7" s="1"/>
    </row>
    <row r="8" spans="1:42" ht="24.95" customHeight="1" x14ac:dyDescent="0.4">
      <c r="B8" s="6"/>
      <c r="C8" s="1" t="str">
        <f>IF(Tabulka17101325313743495561677379859197[[#This Row],[ ]]="","",IF(Tabulka17101325313743495561677379859197[[#This Row],[ ]]="NEÚČAST","",IF(OR(Tabulka17101325313743495561677379859197[Výsledný čas]="N",Tabulka17101325313743495561677379859197[Výsledný čas]="D"),$L$4-$L$5,_xlfn.RANK.EQ(Tabulka17101325313743495561677379859197[[#This Row],[ ]],Tabulka17101325313743495561677379859197[[ ]],1))))</f>
        <v/>
      </c>
      <c r="D8" s="7"/>
      <c r="E8" s="8"/>
      <c r="F8" s="8"/>
      <c r="G8" s="9" t="str">
        <f>IF(OR(Tabulka17101325313743495561677379859197[[#This Row],[LP]]="N",Tabulka17101325313743495561677379859197[[#This Row],[PP]]="N"),"N",IF(OR(Tabulka17101325313743495561677379859197[[#This Row],[LP]]="D",Tabulka17101325313743495561677379859197[[#This Row],[PP]]="D"),"D",IF(OR(Tabulka17101325313743495561677379859197[[#This Row],[LP]]="NEÚČAST",Tabulka17101325313743495561677379859197[[#This Row],[PP]]="NEÚČAST"),"NEÚČAST",IF(OR(Tabulka17101325313743495561677379859197[[#This Row],[LP]]="",Tabulka17101325313743495561677379859197[[#This Row],[PP]]=""),"",MAX(Tabulka17101325313743495561677379859197[[#This Row],[LP]:[PP]])))))</f>
        <v/>
      </c>
      <c r="H8" s="1">
        <f>COUNTIF(Tabulka17101325313743495561677379859197[[#This Row],[Tým]],"*")</f>
        <v>0</v>
      </c>
      <c r="I8" s="1">
        <f>COUNTIF(Tabulka17101325313743495561677379859197[[#This Row],[Výsledný čas]],"NEÚČAST")</f>
        <v>0</v>
      </c>
      <c r="J8" s="1" t="str">
        <f>IF(Tabulka17101325313743495561677379859197[[#This Row],[Výsledný čas]]="N",998,IF(Tabulka17101325313743495561677379859197[[#This Row],[Výsledný čas]]="D",998,IF(Tabulka17101325313743495561677379859197[[#This Row],[Výsledný čas]]="","",Tabulka17101325313743495561677379859197[[#This Row],[Výsledný čas]])))</f>
        <v/>
      </c>
      <c r="N8" s="31"/>
      <c r="O8" s="25" t="str">
        <f>IF(Tabulka1710136303642485460667278849096102[[#This Row],[ ]]="","",IF(Tabulka1710136303642485460667278849096102[[#This Row],[ ]]="NEÚČAST","",IF(OR(Tabulka1710136303642485460667278849096102[Výsledný čas]="N",Tabulka1710136303642485460667278849096102[Výsledný čas]="D"),$X$4-$X$5,_xlfn.RANK.EQ(Tabulka1710136303642485460667278849096102[[#This Row],[ ]],Tabulka1710136303642485460667278849096102[[ ]],1))))</f>
        <v/>
      </c>
      <c r="P8" s="26"/>
      <c r="Q8" s="5"/>
      <c r="R8" s="5"/>
      <c r="S8" s="25" t="str">
        <f>IF(OR(Tabulka1710136303642485460667278849096102[[#This Row],[LP]]="N",Tabulka1710136303642485460667278849096102[[#This Row],[PP]]="N"),"N",IF(OR(Tabulka1710136303642485460667278849096102[[#This Row],[LP]]="D",Tabulka1710136303642485460667278849096102[[#This Row],[PP]]="D"),"D",IF(OR(Tabulka1710136303642485460667278849096102[[#This Row],[LP]]="NEÚČAST",Tabulka1710136303642485460667278849096102[[#This Row],[PP]]="NEÚČAST"),"NEÚČAST",IF(OR(Tabulka1710136303642485460667278849096102[[#This Row],[LP]]="",Tabulka1710136303642485460667278849096102[[#This Row],[PP]]=""),"",MAX(Tabulka1710136303642485460667278849096102[[#This Row],[LP]:[PP]])))))</f>
        <v/>
      </c>
      <c r="T8" s="46">
        <f>COUNTIF(Tabulka1710136303642485460667278849096102[[#This Row],[Tým]],"*")</f>
        <v>0</v>
      </c>
      <c r="U8" s="46">
        <f>COUNTIF(Tabulka1710136303642485460667278849096102[[#This Row],[Výsledný čas]],"NEÚČAST")</f>
        <v>0</v>
      </c>
      <c r="V8" s="29" t="str">
        <f>IF(Tabulka1710136303642485460667278849096102[[#This Row],[Výsledný čas]]="N",998,IF(Tabulka1710136303642485460667278849096102[[#This Row],[Výsledný čas]]="D",998,IF(Tabulka1710136303642485460667278849096102[[#This Row],[Výsledný čas]]="","",Tabulka1710136303642485460667278849096102[[#This Row],[Výsledný čas]])))</f>
        <v/>
      </c>
      <c r="Y8" s="15"/>
      <c r="Z8" s="31" t="e">
        <f>IF(OR(Tabulka38111426323844505662687480869298[Výsledný čas]="N",Tabulka38111426323844505662687480869298[Výsledný čas]="D",Tabulka38111426323844505662687480869298[Výsledný čas]="NEÚČAST"),Uvod!$E$4,_xlfn.RANK.EQ(Tabulka38111426323844505662687480869298[[#This Row],[ ]],Tabulka38111426323844505662687480869298[[ ]],1))</f>
        <v>#N/A</v>
      </c>
      <c r="AA8" s="27"/>
      <c r="AB8" s="44" t="e">
        <f>VLOOKUP(Tabulka38111426323844505662687480869298[[#This Row],[Tým]],Tabulka17101325313743495561677379859197[[Tým]:[ ]],2,FALSE)</f>
        <v>#N/A</v>
      </c>
      <c r="AC8" s="44" t="e">
        <f>VLOOKUP(Tabulka38111426323844505662687480869298[[#This Row],[Tým]],Tabulka17101325313743495561677379859197[[Tým]:[ ]],3,FALSE)</f>
        <v>#N/A</v>
      </c>
      <c r="AD8" s="25" t="e">
        <f>VLOOKUP(Tabulka38111426323844505662687480869298[[#This Row],[Tým]],Tabulka17101325313743495561677379859197[[Tým]:[ ]],4,FALSE)</f>
        <v>#N/A</v>
      </c>
      <c r="AE8" s="25" t="e">
        <f>VLOOKUP(Tabulka38111426323844505662687480869298[[#This Row],[Tým]],Tabulka17101325313743495561677379859197[[Tým]:[ ]],7,FALSE)</f>
        <v>#N/A</v>
      </c>
      <c r="AF8" s="29" t="e">
        <f>IF(Tabulka38111426323844505662687480869298[[#This Row],[Výsledný čas]]="N",5,IF(Tabulka38111426323844505662687480869298[[#This Row],[Výsledný čas]]="D",0,IF(Tabulka38111426323844505662687480869298[[#This Row],[Výsledný čas]]="NEÚČAST",0,Tabulka4[[#Totals],[Týmy muži]]+6-Tabulka38111426323844505662687480869298[[#This Row],[Umístění]])))</f>
        <v>#N/A</v>
      </c>
      <c r="AH8" s="31" t="e">
        <f>_xlfn.RANK.EQ(Tabulka59121527333945515763697581879399[[#This Row],[Body]],Tabulka59121527333945515763697581879399[Body],0)</f>
        <v>#N/A</v>
      </c>
      <c r="AI8" s="27"/>
      <c r="AJ8" s="25" t="e">
        <f>VLOOKUP(Tabulka59121527333945515763697581879399[[#This Row],[Tým]],Tabulka38111426323844505662687480869298[[Tým]:[Body]],6,FALSE)+Tabulka59121527333945515763697581879399[[#This Row],[ ]]</f>
        <v>#N/A</v>
      </c>
      <c r="AK8" s="47" t="e">
        <f>VLOOKUP(Tabulka59121527333945515763697581879399[[#This Row],[Tým]],Tabulka591215273339455157636975818793[[Tým]:[Body]],2,FALSE)</f>
        <v>#N/A</v>
      </c>
      <c r="AL8" s="39" t="e">
        <f>Tabulka59121527333945515763697581879399[[#This Row],[Umístění]]</f>
        <v>#N/A</v>
      </c>
      <c r="AP8" s="1"/>
    </row>
    <row r="9" spans="1:42" ht="24.95" customHeight="1" x14ac:dyDescent="0.4">
      <c r="B9" s="11"/>
      <c r="C9" s="1" t="str">
        <f>IF(Tabulka17101325313743495561677379859197[[#This Row],[ ]]="","",IF(Tabulka17101325313743495561677379859197[[#This Row],[ ]]="NEÚČAST","",IF(OR(Tabulka17101325313743495561677379859197[Výsledný čas]="N",Tabulka17101325313743495561677379859197[Výsledný čas]="D"),$L$4-$L$5,_xlfn.RANK.EQ(Tabulka17101325313743495561677379859197[[#This Row],[ ]],Tabulka17101325313743495561677379859197[[ ]],1))))</f>
        <v/>
      </c>
      <c r="D9" s="7"/>
      <c r="E9" s="8"/>
      <c r="F9" s="8"/>
      <c r="G9" s="9" t="str">
        <f>IF(OR(Tabulka17101325313743495561677379859197[[#This Row],[LP]]="N",Tabulka17101325313743495561677379859197[[#This Row],[PP]]="N"),"N",IF(OR(Tabulka17101325313743495561677379859197[[#This Row],[LP]]="D",Tabulka17101325313743495561677379859197[[#This Row],[PP]]="D"),"D",IF(OR(Tabulka17101325313743495561677379859197[[#This Row],[LP]]="NEÚČAST",Tabulka17101325313743495561677379859197[[#This Row],[PP]]="NEÚČAST"),"NEÚČAST",IF(OR(Tabulka17101325313743495561677379859197[[#This Row],[LP]]="",Tabulka17101325313743495561677379859197[[#This Row],[PP]]=""),"",MAX(Tabulka17101325313743495561677379859197[[#This Row],[LP]:[PP]])))))</f>
        <v/>
      </c>
      <c r="H9" s="1">
        <f>COUNTIF(Tabulka17101325313743495561677379859197[[#This Row],[Tým]],"*")</f>
        <v>0</v>
      </c>
      <c r="I9" s="1">
        <f>COUNTIF(Tabulka17101325313743495561677379859197[[#This Row],[Výsledný čas]],"NEÚČAST")</f>
        <v>0</v>
      </c>
      <c r="J9" s="1" t="str">
        <f>IF(Tabulka17101325313743495561677379859197[[#This Row],[Výsledný čas]]="N",998,IF(Tabulka17101325313743495561677379859197[[#This Row],[Výsledný čas]]="D",998,IF(Tabulka17101325313743495561677379859197[[#This Row],[Výsledný čas]]="","",Tabulka17101325313743495561677379859197[[#This Row],[Výsledný čas]])))</f>
        <v/>
      </c>
      <c r="N9" s="30"/>
      <c r="O9" s="25" t="str">
        <f>IF(Tabulka1710136303642485460667278849096102[[#This Row],[ ]]="","",IF(Tabulka1710136303642485460667278849096102[[#This Row],[ ]]="NEÚČAST","",IF(OR(Tabulka1710136303642485460667278849096102[Výsledný čas]="N",Tabulka1710136303642485460667278849096102[Výsledný čas]="D"),$X$4-$X$5,_xlfn.RANK.EQ(Tabulka1710136303642485460667278849096102[[#This Row],[ ]],Tabulka1710136303642485460667278849096102[[ ]],1))))</f>
        <v/>
      </c>
      <c r="P9" s="26"/>
      <c r="Q9" s="5"/>
      <c r="R9" s="5"/>
      <c r="S9" s="25" t="str">
        <f>IF(OR(Tabulka1710136303642485460667278849096102[[#This Row],[LP]]="N",Tabulka1710136303642485460667278849096102[[#This Row],[PP]]="N"),"N",IF(OR(Tabulka1710136303642485460667278849096102[[#This Row],[LP]]="D",Tabulka1710136303642485460667278849096102[[#This Row],[PP]]="D"),"D",IF(OR(Tabulka1710136303642485460667278849096102[[#This Row],[LP]]="NEÚČAST",Tabulka1710136303642485460667278849096102[[#This Row],[PP]]="NEÚČAST"),"NEÚČAST",IF(OR(Tabulka1710136303642485460667278849096102[[#This Row],[LP]]="",Tabulka1710136303642485460667278849096102[[#This Row],[PP]]=""),"",MAX(Tabulka1710136303642485460667278849096102[[#This Row],[LP]:[PP]])))))</f>
        <v/>
      </c>
      <c r="T9" s="46">
        <f>COUNTIF(Tabulka1710136303642485460667278849096102[[#This Row],[Tým]],"*")</f>
        <v>0</v>
      </c>
      <c r="U9" s="46">
        <f>COUNTIF(Tabulka1710136303642485460667278849096102[[#This Row],[Výsledný čas]],"NEÚČAST")</f>
        <v>0</v>
      </c>
      <c r="V9" s="29" t="str">
        <f>IF(Tabulka1710136303642485460667278849096102[[#This Row],[Výsledný čas]]="N",998,IF(Tabulka1710136303642485460667278849096102[[#This Row],[Výsledný čas]]="D",998,IF(Tabulka1710136303642485460667278849096102[[#This Row],[Výsledný čas]]="","",Tabulka1710136303642485460667278849096102[[#This Row],[Výsledný čas]])))</f>
        <v/>
      </c>
      <c r="Y9" s="15"/>
      <c r="Z9" s="31" t="e">
        <f>IF(OR(Tabulka38111426323844505662687480869298[Výsledný čas]="N",Tabulka38111426323844505662687480869298[Výsledný čas]="D",Tabulka38111426323844505662687480869298[Výsledný čas]="NEÚČAST"),Uvod!$E$4,_xlfn.RANK.EQ(Tabulka38111426323844505662687480869298[[#This Row],[ ]],Tabulka38111426323844505662687480869298[[ ]],1))</f>
        <v>#N/A</v>
      </c>
      <c r="AA9" s="27"/>
      <c r="AB9" s="44" t="e">
        <f>VLOOKUP(Tabulka38111426323844505662687480869298[[#This Row],[Tým]],Tabulka17101325313743495561677379859197[[Tým]:[ ]],2,FALSE)</f>
        <v>#N/A</v>
      </c>
      <c r="AC9" s="44" t="e">
        <f>VLOOKUP(Tabulka38111426323844505662687480869298[[#This Row],[Tým]],Tabulka17101325313743495561677379859197[[Tým]:[ ]],3,FALSE)</f>
        <v>#N/A</v>
      </c>
      <c r="AD9" s="25" t="e">
        <f>VLOOKUP(Tabulka38111426323844505662687480869298[[#This Row],[Tým]],Tabulka17101325313743495561677379859197[[Tým]:[ ]],4,FALSE)</f>
        <v>#N/A</v>
      </c>
      <c r="AE9" s="25" t="e">
        <f>VLOOKUP(Tabulka38111426323844505662687480869298[[#This Row],[Tým]],Tabulka17101325313743495561677379859197[[Tým]:[ ]],7,FALSE)</f>
        <v>#N/A</v>
      </c>
      <c r="AF9" s="29" t="e">
        <f>IF(Tabulka38111426323844505662687480869298[[#This Row],[Výsledný čas]]="N",5,IF(Tabulka38111426323844505662687480869298[[#This Row],[Výsledný čas]]="D",0,IF(Tabulka38111426323844505662687480869298[[#This Row],[Výsledný čas]]="NEÚČAST",0,Tabulka4[[#Totals],[Týmy muži]]+6-Tabulka38111426323844505662687480869298[[#This Row],[Umístění]])))</f>
        <v>#N/A</v>
      </c>
      <c r="AH9" s="31" t="e">
        <f>_xlfn.RANK.EQ(Tabulka59121527333945515763697581879399[[#This Row],[Body]],Tabulka59121527333945515763697581879399[Body],0)</f>
        <v>#N/A</v>
      </c>
      <c r="AI9" s="27"/>
      <c r="AJ9" s="25" t="e">
        <f>VLOOKUP(Tabulka59121527333945515763697581879399[[#This Row],[Tým]],Tabulka38111426323844505662687480869298[[Tým]:[Body]],6,FALSE)+Tabulka59121527333945515763697581879399[[#This Row],[ ]]</f>
        <v>#N/A</v>
      </c>
      <c r="AK9" s="47" t="e">
        <f>VLOOKUP(Tabulka59121527333945515763697581879399[[#This Row],[Tým]],Tabulka591215273339455157636975818793[[Tým]:[Body]],2,FALSE)</f>
        <v>#N/A</v>
      </c>
      <c r="AL9" s="39" t="e">
        <f>Tabulka59121527333945515763697581879399[[#This Row],[Umístění]]</f>
        <v>#N/A</v>
      </c>
      <c r="AP9" s="1"/>
    </row>
    <row r="10" spans="1:42" ht="24.95" customHeight="1" x14ac:dyDescent="0.4">
      <c r="B10" s="6"/>
      <c r="C10" s="1" t="str">
        <f>IF(Tabulka17101325313743495561677379859197[[#This Row],[ ]]="","",IF(Tabulka17101325313743495561677379859197[[#This Row],[ ]]="NEÚČAST","",IF(OR(Tabulka17101325313743495561677379859197[Výsledný čas]="N",Tabulka17101325313743495561677379859197[Výsledný čas]="D"),$L$4-$L$5,_xlfn.RANK.EQ(Tabulka17101325313743495561677379859197[[#This Row],[ ]],Tabulka17101325313743495561677379859197[[ ]],1))))</f>
        <v/>
      </c>
      <c r="D10" s="7"/>
      <c r="E10" s="8"/>
      <c r="F10" s="8"/>
      <c r="G10" s="9" t="str">
        <f>IF(OR(Tabulka17101325313743495561677379859197[[#This Row],[LP]]="N",Tabulka17101325313743495561677379859197[[#This Row],[PP]]="N"),"N",IF(OR(Tabulka17101325313743495561677379859197[[#This Row],[LP]]="D",Tabulka17101325313743495561677379859197[[#This Row],[PP]]="D"),"D",IF(OR(Tabulka17101325313743495561677379859197[[#This Row],[LP]]="NEÚČAST",Tabulka17101325313743495561677379859197[[#This Row],[PP]]="NEÚČAST"),"NEÚČAST",IF(OR(Tabulka17101325313743495561677379859197[[#This Row],[LP]]="",Tabulka17101325313743495561677379859197[[#This Row],[PP]]=""),"",MAX(Tabulka17101325313743495561677379859197[[#This Row],[LP]:[PP]])))))</f>
        <v/>
      </c>
      <c r="H10" s="1">
        <f>COUNTIF(Tabulka17101325313743495561677379859197[[#This Row],[Tým]],"*")</f>
        <v>0</v>
      </c>
      <c r="I10" s="1">
        <f>COUNTIF(Tabulka17101325313743495561677379859197[[#This Row],[Výsledný čas]],"NEÚČAST")</f>
        <v>0</v>
      </c>
      <c r="J10" s="1" t="str">
        <f>IF(Tabulka17101325313743495561677379859197[[#This Row],[Výsledný čas]]="N",998,IF(Tabulka17101325313743495561677379859197[[#This Row],[Výsledný čas]]="D",998,IF(Tabulka17101325313743495561677379859197[[#This Row],[Výsledný čas]]="","",Tabulka17101325313743495561677379859197[[#This Row],[Výsledný čas]])))</f>
        <v/>
      </c>
      <c r="N10" s="30"/>
      <c r="O10" s="25" t="str">
        <f>IF(Tabulka1710136303642485460667278849096102[[#This Row],[ ]]="","",IF(Tabulka1710136303642485460667278849096102[[#This Row],[ ]]="NEÚČAST","",IF(OR(Tabulka1710136303642485460667278849096102[Výsledný čas]="N",Tabulka1710136303642485460667278849096102[Výsledný čas]="D"),$X$4-$X$5,_xlfn.RANK.EQ(Tabulka1710136303642485460667278849096102[[#This Row],[ ]],Tabulka1710136303642485460667278849096102[[ ]],1))))</f>
        <v/>
      </c>
      <c r="P10" s="26"/>
      <c r="Q10" s="5"/>
      <c r="R10" s="5"/>
      <c r="S10" s="25" t="str">
        <f>IF(OR(Tabulka1710136303642485460667278849096102[[#This Row],[LP]]="N",Tabulka1710136303642485460667278849096102[[#This Row],[PP]]="N"),"N",IF(OR(Tabulka1710136303642485460667278849096102[[#This Row],[LP]]="D",Tabulka1710136303642485460667278849096102[[#This Row],[PP]]="D"),"D",IF(OR(Tabulka1710136303642485460667278849096102[[#This Row],[LP]]="NEÚČAST",Tabulka1710136303642485460667278849096102[[#This Row],[PP]]="NEÚČAST"),"NEÚČAST",IF(OR(Tabulka1710136303642485460667278849096102[[#This Row],[LP]]="",Tabulka1710136303642485460667278849096102[[#This Row],[PP]]=""),"",MAX(Tabulka1710136303642485460667278849096102[[#This Row],[LP]:[PP]])))))</f>
        <v/>
      </c>
      <c r="T10" s="46">
        <f>COUNTIF(Tabulka1710136303642485460667278849096102[[#This Row],[Tým]],"*")</f>
        <v>0</v>
      </c>
      <c r="U10" s="46">
        <f>COUNTIF(Tabulka1710136303642485460667278849096102[[#This Row],[Výsledný čas]],"NEÚČAST")</f>
        <v>0</v>
      </c>
      <c r="V10" s="29" t="str">
        <f>IF(Tabulka1710136303642485460667278849096102[[#This Row],[Výsledný čas]]="N",998,IF(Tabulka1710136303642485460667278849096102[[#This Row],[Výsledný čas]]="D",998,IF(Tabulka1710136303642485460667278849096102[[#This Row],[Výsledný čas]]="","",Tabulka1710136303642485460667278849096102[[#This Row],[Výsledný čas]])))</f>
        <v/>
      </c>
      <c r="Y10" s="15"/>
      <c r="Z10" s="31" t="e">
        <f>IF(OR(Tabulka38111426323844505662687480869298[Výsledný čas]="N",Tabulka38111426323844505662687480869298[Výsledný čas]="D",Tabulka38111426323844505662687480869298[Výsledný čas]="NEÚČAST"),Uvod!$E$4,_xlfn.RANK.EQ(Tabulka38111426323844505662687480869298[[#This Row],[ ]],Tabulka38111426323844505662687480869298[[ ]],1))</f>
        <v>#N/A</v>
      </c>
      <c r="AA10" s="27"/>
      <c r="AB10" s="44" t="e">
        <f>VLOOKUP(Tabulka38111426323844505662687480869298[[#This Row],[Tým]],Tabulka17101325313743495561677379859197[[Tým]:[ ]],2,FALSE)</f>
        <v>#N/A</v>
      </c>
      <c r="AC10" s="44" t="e">
        <f>VLOOKUP(Tabulka38111426323844505662687480869298[[#This Row],[Tým]],Tabulka17101325313743495561677379859197[[Tým]:[ ]],3,FALSE)</f>
        <v>#N/A</v>
      </c>
      <c r="AD10" s="25" t="e">
        <f>VLOOKUP(Tabulka38111426323844505662687480869298[[#This Row],[Tým]],Tabulka17101325313743495561677379859197[[Tým]:[ ]],4,FALSE)</f>
        <v>#N/A</v>
      </c>
      <c r="AE10" s="25" t="e">
        <f>VLOOKUP(Tabulka38111426323844505662687480869298[[#This Row],[Tým]],Tabulka17101325313743495561677379859197[[Tým]:[ ]],7,FALSE)</f>
        <v>#N/A</v>
      </c>
      <c r="AF10" s="29" t="e">
        <f>IF(Tabulka38111426323844505662687480869298[[#This Row],[Výsledný čas]]="N",5,IF(Tabulka38111426323844505662687480869298[[#This Row],[Výsledný čas]]="D",0,IF(Tabulka38111426323844505662687480869298[[#This Row],[Výsledný čas]]="NEÚČAST",0,Tabulka4[[#Totals],[Týmy muži]]+6-Tabulka38111426323844505662687480869298[[#This Row],[Umístění]])))</f>
        <v>#N/A</v>
      </c>
      <c r="AH10" s="31" t="e">
        <f>_xlfn.RANK.EQ(Tabulka59121527333945515763697581879399[[#This Row],[Body]],Tabulka59121527333945515763697581879399[Body],0)</f>
        <v>#N/A</v>
      </c>
      <c r="AI10" s="27"/>
      <c r="AJ10" s="25" t="e">
        <f>VLOOKUP(Tabulka59121527333945515763697581879399[[#This Row],[Tým]],Tabulka38111426323844505662687480869298[[Tým]:[Body]],6,FALSE)+Tabulka59121527333945515763697581879399[[#This Row],[ ]]</f>
        <v>#N/A</v>
      </c>
      <c r="AK10" s="47" t="e">
        <f>VLOOKUP(Tabulka59121527333945515763697581879399[[#This Row],[Tým]],Tabulka591215273339455157636975818793[[Tým]:[Body]],2,FALSE)</f>
        <v>#N/A</v>
      </c>
      <c r="AL10" s="39" t="e">
        <f>Tabulka59121527333945515763697581879399[[#This Row],[Umístění]]</f>
        <v>#N/A</v>
      </c>
      <c r="AP10" s="1"/>
    </row>
    <row r="11" spans="1:42" ht="24.95" customHeight="1" x14ac:dyDescent="0.4">
      <c r="B11" s="6"/>
      <c r="C11" s="1" t="str">
        <f>IF(Tabulka17101325313743495561677379859197[[#This Row],[ ]]="","",IF(Tabulka17101325313743495561677379859197[[#This Row],[ ]]="NEÚČAST","",IF(OR(Tabulka17101325313743495561677379859197[Výsledný čas]="N",Tabulka17101325313743495561677379859197[Výsledný čas]="D"),$L$4-$L$5,_xlfn.RANK.EQ(Tabulka17101325313743495561677379859197[[#This Row],[ ]],Tabulka17101325313743495561677379859197[[ ]],1))))</f>
        <v/>
      </c>
      <c r="D11" s="7"/>
      <c r="E11" s="8"/>
      <c r="F11" s="8"/>
      <c r="G11" s="9" t="str">
        <f>IF(OR(Tabulka17101325313743495561677379859197[[#This Row],[LP]]="N",Tabulka17101325313743495561677379859197[[#This Row],[PP]]="N"),"N",IF(OR(Tabulka17101325313743495561677379859197[[#This Row],[LP]]="D",Tabulka17101325313743495561677379859197[[#This Row],[PP]]="D"),"D",IF(OR(Tabulka17101325313743495561677379859197[[#This Row],[LP]]="NEÚČAST",Tabulka17101325313743495561677379859197[[#This Row],[PP]]="NEÚČAST"),"NEÚČAST",IF(OR(Tabulka17101325313743495561677379859197[[#This Row],[LP]]="",Tabulka17101325313743495561677379859197[[#This Row],[PP]]=""),"",MAX(Tabulka17101325313743495561677379859197[[#This Row],[LP]:[PP]])))))</f>
        <v/>
      </c>
      <c r="H11" s="1">
        <f>COUNTIF(Tabulka17101325313743495561677379859197[[#This Row],[Tým]],"*")</f>
        <v>0</v>
      </c>
      <c r="I11" s="1">
        <f>COUNTIF(Tabulka17101325313743495561677379859197[[#This Row],[Výsledný čas]],"NEÚČAST")</f>
        <v>0</v>
      </c>
      <c r="J11" s="1" t="str">
        <f>IF(Tabulka17101325313743495561677379859197[[#This Row],[Výsledný čas]]="N",998,IF(Tabulka17101325313743495561677379859197[[#This Row],[Výsledný čas]]="D",998,IF(Tabulka17101325313743495561677379859197[[#This Row],[Výsledný čas]]="","",Tabulka17101325313743495561677379859197[[#This Row],[Výsledný čas]])))</f>
        <v/>
      </c>
      <c r="N11" s="30"/>
      <c r="O11" s="25" t="str">
        <f>IF(Tabulka1710136303642485460667278849096102[[#This Row],[ ]]="","",IF(Tabulka1710136303642485460667278849096102[[#This Row],[ ]]="NEÚČAST","",IF(OR(Tabulka1710136303642485460667278849096102[Výsledný čas]="N",Tabulka1710136303642485460667278849096102[Výsledný čas]="D"),$X$4-$X$5,_xlfn.RANK.EQ(Tabulka1710136303642485460667278849096102[[#This Row],[ ]],Tabulka1710136303642485460667278849096102[[ ]],1))))</f>
        <v/>
      </c>
      <c r="P11" s="26"/>
      <c r="Q11" s="5"/>
      <c r="R11" s="5"/>
      <c r="S11" s="25" t="str">
        <f>IF(OR(Tabulka1710136303642485460667278849096102[[#This Row],[LP]]="N",Tabulka1710136303642485460667278849096102[[#This Row],[PP]]="N"),"N",IF(OR(Tabulka1710136303642485460667278849096102[[#This Row],[LP]]="D",Tabulka1710136303642485460667278849096102[[#This Row],[PP]]="D"),"D",IF(OR(Tabulka1710136303642485460667278849096102[[#This Row],[LP]]="NEÚČAST",Tabulka1710136303642485460667278849096102[[#This Row],[PP]]="NEÚČAST"),"NEÚČAST",IF(OR(Tabulka1710136303642485460667278849096102[[#This Row],[LP]]="",Tabulka1710136303642485460667278849096102[[#This Row],[PP]]=""),"",MAX(Tabulka1710136303642485460667278849096102[[#This Row],[LP]:[PP]])))))</f>
        <v/>
      </c>
      <c r="T11" s="46">
        <f>COUNTIF(Tabulka1710136303642485460667278849096102[[#This Row],[Tým]],"*")</f>
        <v>0</v>
      </c>
      <c r="U11" s="46">
        <f>COUNTIF(Tabulka1710136303642485460667278849096102[[#This Row],[Výsledný čas]],"NEÚČAST")</f>
        <v>0</v>
      </c>
      <c r="V11" s="29" t="str">
        <f>IF(Tabulka1710136303642485460667278849096102[[#This Row],[Výsledný čas]]="N",998,IF(Tabulka1710136303642485460667278849096102[[#This Row],[Výsledný čas]]="D",998,IF(Tabulka1710136303642485460667278849096102[[#This Row],[Výsledný čas]]="","",Tabulka1710136303642485460667278849096102[[#This Row],[Výsledný čas]])))</f>
        <v/>
      </c>
      <c r="Y11" s="15"/>
      <c r="Z11" s="31" t="e">
        <f>IF(OR(Tabulka38111426323844505662687480869298[Výsledný čas]="N",Tabulka38111426323844505662687480869298[Výsledný čas]="D",Tabulka38111426323844505662687480869298[Výsledný čas]="NEÚČAST"),Uvod!$E$4,_xlfn.RANK.EQ(Tabulka38111426323844505662687480869298[[#This Row],[ ]],Tabulka38111426323844505662687480869298[[ ]],1))</f>
        <v>#N/A</v>
      </c>
      <c r="AA11" s="27"/>
      <c r="AB11" s="44" t="e">
        <f>VLOOKUP(Tabulka38111426323844505662687480869298[[#This Row],[Tým]],Tabulka17101325313743495561677379859197[[Tým]:[ ]],2,FALSE)</f>
        <v>#N/A</v>
      </c>
      <c r="AC11" s="44" t="e">
        <f>VLOOKUP(Tabulka38111426323844505662687480869298[[#This Row],[Tým]],Tabulka17101325313743495561677379859197[[Tým]:[ ]],3,FALSE)</f>
        <v>#N/A</v>
      </c>
      <c r="AD11" s="25" t="e">
        <f>VLOOKUP(Tabulka38111426323844505662687480869298[[#This Row],[Tým]],Tabulka17101325313743495561677379859197[[Tým]:[ ]],4,FALSE)</f>
        <v>#N/A</v>
      </c>
      <c r="AE11" s="25" t="e">
        <f>VLOOKUP(Tabulka38111426323844505662687480869298[[#This Row],[Tým]],Tabulka17101325313743495561677379859197[[Tým]:[ ]],7,FALSE)</f>
        <v>#N/A</v>
      </c>
      <c r="AF11" s="29" t="e">
        <f>IF(Tabulka38111426323844505662687480869298[[#This Row],[Výsledný čas]]="N",5,IF(Tabulka38111426323844505662687480869298[[#This Row],[Výsledný čas]]="D",0,IF(Tabulka38111426323844505662687480869298[[#This Row],[Výsledný čas]]="NEÚČAST",0,Tabulka4[[#Totals],[Týmy muži]]+6-Tabulka38111426323844505662687480869298[[#This Row],[Umístění]])))</f>
        <v>#N/A</v>
      </c>
      <c r="AH11" s="31" t="e">
        <f>_xlfn.RANK.EQ(Tabulka59121527333945515763697581879399[[#This Row],[Body]],Tabulka59121527333945515763697581879399[Body],0)</f>
        <v>#N/A</v>
      </c>
      <c r="AI11" s="27"/>
      <c r="AJ11" s="25" t="e">
        <f>VLOOKUP(Tabulka59121527333945515763697581879399[[#This Row],[Tým]],Tabulka38111426323844505662687480869298[[Tým]:[Body]],6,FALSE)+Tabulka59121527333945515763697581879399[[#This Row],[ ]]</f>
        <v>#N/A</v>
      </c>
      <c r="AK11" s="47" t="e">
        <f>VLOOKUP(Tabulka59121527333945515763697581879399[[#This Row],[Tým]],Tabulka591215273339455157636975818793[[Tým]:[Body]],2,FALSE)</f>
        <v>#N/A</v>
      </c>
      <c r="AL11" s="39" t="e">
        <f>Tabulka59121527333945515763697581879399[[#This Row],[Umístění]]</f>
        <v>#N/A</v>
      </c>
      <c r="AP11" s="1"/>
    </row>
    <row r="12" spans="1:42" ht="24.95" customHeight="1" x14ac:dyDescent="0.4">
      <c r="B12" s="6"/>
      <c r="C12" s="1" t="str">
        <f>IF(Tabulka17101325313743495561677379859197[[#This Row],[ ]]="","",IF(Tabulka17101325313743495561677379859197[[#This Row],[ ]]="NEÚČAST","",IF(OR(Tabulka17101325313743495561677379859197[Výsledný čas]="N",Tabulka17101325313743495561677379859197[Výsledný čas]="D"),$L$4-$L$5,_xlfn.RANK.EQ(Tabulka17101325313743495561677379859197[[#This Row],[ ]],Tabulka17101325313743495561677379859197[[ ]],1))))</f>
        <v/>
      </c>
      <c r="D12" s="7"/>
      <c r="E12" s="8"/>
      <c r="F12" s="8"/>
      <c r="G12" s="9" t="str">
        <f>IF(OR(Tabulka17101325313743495561677379859197[[#This Row],[LP]]="N",Tabulka17101325313743495561677379859197[[#This Row],[PP]]="N"),"N",IF(OR(Tabulka17101325313743495561677379859197[[#This Row],[LP]]="D",Tabulka17101325313743495561677379859197[[#This Row],[PP]]="D"),"D",IF(OR(Tabulka17101325313743495561677379859197[[#This Row],[LP]]="NEÚČAST",Tabulka17101325313743495561677379859197[[#This Row],[PP]]="NEÚČAST"),"NEÚČAST",IF(OR(Tabulka17101325313743495561677379859197[[#This Row],[LP]]="",Tabulka17101325313743495561677379859197[[#This Row],[PP]]=""),"",MAX(Tabulka17101325313743495561677379859197[[#This Row],[LP]:[PP]])))))</f>
        <v/>
      </c>
      <c r="H12" s="1">
        <f>COUNTIF(Tabulka17101325313743495561677379859197[[#This Row],[Tým]],"*")</f>
        <v>0</v>
      </c>
      <c r="I12" s="1">
        <f>COUNTIF(Tabulka17101325313743495561677379859197[[#This Row],[Výsledný čas]],"NEÚČAST")</f>
        <v>0</v>
      </c>
      <c r="J12" s="1" t="str">
        <f>IF(Tabulka17101325313743495561677379859197[[#This Row],[Výsledný čas]]="N",998,IF(Tabulka17101325313743495561677379859197[[#This Row],[Výsledný čas]]="D",998,IF(Tabulka17101325313743495561677379859197[[#This Row],[Výsledný čas]]="","",Tabulka17101325313743495561677379859197[[#This Row],[Výsledný čas]])))</f>
        <v/>
      </c>
      <c r="N12" s="58"/>
      <c r="O12" s="59" t="str">
        <f>IF(Tabulka1710136303642485460667278849096102[[#This Row],[ ]]="","",IF(Tabulka1710136303642485460667278849096102[[#This Row],[ ]]="NEÚČAST","",IF(OR(Tabulka1710136303642485460667278849096102[Výsledný čas]="N",Tabulka1710136303642485460667278849096102[Výsledný čas]="D"),$X$4-$X$5,_xlfn.RANK.EQ(Tabulka1710136303642485460667278849096102[[#This Row],[ ]],Tabulka1710136303642485460667278849096102[[ ]],1))))</f>
        <v/>
      </c>
      <c r="P12" s="89"/>
      <c r="Q12" s="90"/>
      <c r="R12" s="90"/>
      <c r="S12" s="59" t="str">
        <f>IF(OR(Tabulka1710136303642485460667278849096102[[#This Row],[LP]]="N",Tabulka1710136303642485460667278849096102[[#This Row],[PP]]="N"),"N",IF(OR(Tabulka1710136303642485460667278849096102[[#This Row],[LP]]="D",Tabulka1710136303642485460667278849096102[[#This Row],[PP]]="D"),"D",IF(OR(Tabulka1710136303642485460667278849096102[[#This Row],[LP]]="NEÚČAST",Tabulka1710136303642485460667278849096102[[#This Row],[PP]]="NEÚČAST"),"NEÚČAST",IF(OR(Tabulka1710136303642485460667278849096102[[#This Row],[LP]]="",Tabulka1710136303642485460667278849096102[[#This Row],[PP]]=""),"",MAX(Tabulka1710136303642485460667278849096102[[#This Row],[LP]:[PP]])))))</f>
        <v/>
      </c>
      <c r="T12" s="158">
        <f>COUNTIF(Tabulka1710136303642485460667278849096102[[#This Row],[Tým]],"*")</f>
        <v>0</v>
      </c>
      <c r="U12" s="158">
        <f>COUNTIF(Tabulka1710136303642485460667278849096102[[#This Row],[Výsledný čas]],"NEÚČAST")</f>
        <v>0</v>
      </c>
      <c r="V12" s="60" t="str">
        <f>IF(Tabulka1710136303642485460667278849096102[[#This Row],[Výsledný čas]]="N",998,IF(Tabulka1710136303642485460667278849096102[[#This Row],[Výsledný čas]]="D",998,IF(Tabulka1710136303642485460667278849096102[[#This Row],[Výsledný čas]]="","",Tabulka1710136303642485460667278849096102[[#This Row],[Výsledný čas]])))</f>
        <v/>
      </c>
      <c r="Y12" s="15"/>
      <c r="Z12" s="31" t="e">
        <f>IF(OR(Tabulka38111426323844505662687480869298[Výsledný čas]="N",Tabulka38111426323844505662687480869298[Výsledný čas]="D",Tabulka38111426323844505662687480869298[Výsledný čas]="NEÚČAST"),Uvod!$E$4,_xlfn.RANK.EQ(Tabulka38111426323844505662687480869298[[#This Row],[ ]],Tabulka38111426323844505662687480869298[[ ]],1))</f>
        <v>#N/A</v>
      </c>
      <c r="AA12" s="27"/>
      <c r="AB12" s="44" t="e">
        <f>VLOOKUP(Tabulka38111426323844505662687480869298[[#This Row],[Tým]],Tabulka17101325313743495561677379859197[[Tým]:[ ]],2,FALSE)</f>
        <v>#N/A</v>
      </c>
      <c r="AC12" s="44" t="e">
        <f>VLOOKUP(Tabulka38111426323844505662687480869298[[#This Row],[Tým]],Tabulka17101325313743495561677379859197[[Tým]:[ ]],3,FALSE)</f>
        <v>#N/A</v>
      </c>
      <c r="AD12" s="25" t="e">
        <f>VLOOKUP(Tabulka38111426323844505662687480869298[[#This Row],[Tým]],Tabulka17101325313743495561677379859197[[Tým]:[ ]],4,FALSE)</f>
        <v>#N/A</v>
      </c>
      <c r="AE12" s="25" t="e">
        <f>VLOOKUP(Tabulka38111426323844505662687480869298[[#This Row],[Tým]],Tabulka17101325313743495561677379859197[[Tým]:[ ]],7,FALSE)</f>
        <v>#N/A</v>
      </c>
      <c r="AF12" s="29" t="e">
        <f>IF(Tabulka38111426323844505662687480869298[[#This Row],[Výsledný čas]]="N",5,IF(Tabulka38111426323844505662687480869298[[#This Row],[Výsledný čas]]="D",0,IF(Tabulka38111426323844505662687480869298[[#This Row],[Výsledný čas]]="NEÚČAST",0,Tabulka4[[#Totals],[Týmy muži]]+6-Tabulka38111426323844505662687480869298[[#This Row],[Umístění]])))</f>
        <v>#N/A</v>
      </c>
      <c r="AH12" s="31" t="e">
        <f>_xlfn.RANK.EQ(Tabulka59121527333945515763697581879399[[#This Row],[Body]],Tabulka59121527333945515763697581879399[Body],0)</f>
        <v>#N/A</v>
      </c>
      <c r="AI12" s="27"/>
      <c r="AJ12" s="25" t="e">
        <f>VLOOKUP(Tabulka59121527333945515763697581879399[[#This Row],[Tým]],Tabulka38111426323844505662687480869298[[Tým]:[Body]],6,FALSE)+Tabulka59121527333945515763697581879399[[#This Row],[ ]]</f>
        <v>#N/A</v>
      </c>
      <c r="AK12" s="47" t="e">
        <f>VLOOKUP(Tabulka59121527333945515763697581879399[[#This Row],[Tým]],Tabulka591215273339455157636975818793[[Tým]:[Body]],2,FALSE)</f>
        <v>#N/A</v>
      </c>
      <c r="AL12" s="39" t="e">
        <f>Tabulka59121527333945515763697581879399[[#This Row],[Umístění]]</f>
        <v>#N/A</v>
      </c>
      <c r="AP12" s="1"/>
    </row>
    <row r="13" spans="1:42" ht="24.95" customHeight="1" x14ac:dyDescent="0.4">
      <c r="B13" s="6"/>
      <c r="C13" s="1" t="str">
        <f>IF(Tabulka17101325313743495561677379859197[[#This Row],[ ]]="","",IF(Tabulka17101325313743495561677379859197[[#This Row],[ ]]="NEÚČAST","",IF(OR(Tabulka17101325313743495561677379859197[Výsledný čas]="N",Tabulka17101325313743495561677379859197[Výsledný čas]="D"),$L$4-$L$5,_xlfn.RANK.EQ(Tabulka17101325313743495561677379859197[[#This Row],[ ]],Tabulka17101325313743495561677379859197[[ ]],1))))</f>
        <v/>
      </c>
      <c r="D13" s="7"/>
      <c r="E13" s="8"/>
      <c r="F13" s="8"/>
      <c r="G13" s="9" t="str">
        <f>IF(OR(Tabulka17101325313743495561677379859197[[#This Row],[LP]]="N",Tabulka17101325313743495561677379859197[[#This Row],[PP]]="N"),"N",IF(OR(Tabulka17101325313743495561677379859197[[#This Row],[LP]]="D",Tabulka17101325313743495561677379859197[[#This Row],[PP]]="D"),"D",IF(OR(Tabulka17101325313743495561677379859197[[#This Row],[LP]]="NEÚČAST",Tabulka17101325313743495561677379859197[[#This Row],[PP]]="NEÚČAST"),"NEÚČAST",IF(OR(Tabulka17101325313743495561677379859197[[#This Row],[LP]]="",Tabulka17101325313743495561677379859197[[#This Row],[PP]]=""),"",MAX(Tabulka17101325313743495561677379859197[[#This Row],[LP]:[PP]])))))</f>
        <v/>
      </c>
      <c r="H13" s="1">
        <f>COUNTIF(Tabulka17101325313743495561677379859197[[#This Row],[Tým]],"*")</f>
        <v>0</v>
      </c>
      <c r="I13" s="1">
        <f>COUNTIF(Tabulka17101325313743495561677379859197[[#This Row],[Výsledný čas]],"NEÚČAST")</f>
        <v>0</v>
      </c>
      <c r="J13" s="1" t="str">
        <f>IF(Tabulka17101325313743495561677379859197[[#This Row],[Výsledný čas]]="N",998,IF(Tabulka17101325313743495561677379859197[[#This Row],[Výsledný čas]]="D",998,IF(Tabulka17101325313743495561677379859197[[#This Row],[Výsledný čas]]="","",Tabulka17101325313743495561677379859197[[#This Row],[Výsledný čas]])))</f>
        <v/>
      </c>
      <c r="P13" s="7"/>
      <c r="Q13" s="8"/>
      <c r="R13" s="8"/>
      <c r="Z13" s="31" t="e">
        <f>IF(OR(Tabulka38111426323844505662687480869298[Výsledný čas]="N",Tabulka38111426323844505662687480869298[Výsledný čas]="D",Tabulka38111426323844505662687480869298[Výsledný čas]="NEÚČAST"),Uvod!$E$4,_xlfn.RANK.EQ(Tabulka38111426323844505662687480869298[[#This Row],[ ]],Tabulka38111426323844505662687480869298[[ ]],1))</f>
        <v>#N/A</v>
      </c>
      <c r="AA13" s="27"/>
      <c r="AB13" s="44" t="e">
        <f>VLOOKUP(Tabulka38111426323844505662687480869298[[#This Row],[Tým]],Tabulka17101325313743495561677379859197[[Tým]:[ ]],2,FALSE)</f>
        <v>#N/A</v>
      </c>
      <c r="AC13" s="44" t="e">
        <f>VLOOKUP(Tabulka38111426323844505662687480869298[[#This Row],[Tým]],Tabulka17101325313743495561677379859197[[Tým]:[ ]],3,FALSE)</f>
        <v>#N/A</v>
      </c>
      <c r="AD13" s="25" t="e">
        <f>VLOOKUP(Tabulka38111426323844505662687480869298[[#This Row],[Tým]],Tabulka17101325313743495561677379859197[[Tým]:[ ]],4,FALSE)</f>
        <v>#N/A</v>
      </c>
      <c r="AE13" s="25" t="e">
        <f>VLOOKUP(Tabulka38111426323844505662687480869298[[#This Row],[Tým]],Tabulka17101325313743495561677379859197[[Tým]:[ ]],7,FALSE)</f>
        <v>#N/A</v>
      </c>
      <c r="AF13" s="29" t="e">
        <f>IF(Tabulka38111426323844505662687480869298[[#This Row],[Výsledný čas]]="N",5,IF(Tabulka38111426323844505662687480869298[[#This Row],[Výsledný čas]]="D",0,IF(Tabulka38111426323844505662687480869298[[#This Row],[Výsledný čas]]="NEÚČAST",0,Tabulka4[[#Totals],[Týmy muži]]+6-Tabulka38111426323844505662687480869298[[#This Row],[Umístění]])))</f>
        <v>#N/A</v>
      </c>
      <c r="AH13" s="31" t="e">
        <f>_xlfn.RANK.EQ(Tabulka59121527333945515763697581879399[[#This Row],[Body]],Tabulka59121527333945515763697581879399[Body],0)</f>
        <v>#N/A</v>
      </c>
      <c r="AI13" s="27"/>
      <c r="AJ13" s="25" t="e">
        <f>VLOOKUP(Tabulka59121527333945515763697581879399[[#This Row],[Tým]],Tabulka38111426323844505662687480869298[[Tým]:[Body]],6,FALSE)+Tabulka59121527333945515763697581879399[[#This Row],[ ]]</f>
        <v>#N/A</v>
      </c>
      <c r="AK13" s="47" t="e">
        <f>VLOOKUP(Tabulka59121527333945515763697581879399[[#This Row],[Tým]],Tabulka591215273339455157636975818793[[Tým]:[Body]],2,FALSE)</f>
        <v>#N/A</v>
      </c>
      <c r="AL13" s="39" t="e">
        <f>Tabulka59121527333945515763697581879399[[#This Row],[Umístění]]</f>
        <v>#N/A</v>
      </c>
      <c r="AP13" s="1"/>
    </row>
    <row r="14" spans="1:42" ht="24.95" customHeight="1" x14ac:dyDescent="0.4">
      <c r="B14" s="6"/>
      <c r="C14" s="1" t="str">
        <f>IF(Tabulka17101325313743495561677379859197[[#This Row],[ ]]="","",IF(Tabulka17101325313743495561677379859197[[#This Row],[ ]]="NEÚČAST","",IF(OR(Tabulka17101325313743495561677379859197[Výsledný čas]="N",Tabulka17101325313743495561677379859197[Výsledný čas]="D"),$L$4-$L$5,_xlfn.RANK.EQ(Tabulka17101325313743495561677379859197[[#This Row],[ ]],Tabulka17101325313743495561677379859197[[ ]],1))))</f>
        <v/>
      </c>
      <c r="D14" s="7"/>
      <c r="E14" s="8"/>
      <c r="F14" s="8"/>
      <c r="G14" s="9" t="str">
        <f>IF(OR(Tabulka17101325313743495561677379859197[[#This Row],[LP]]="N",Tabulka17101325313743495561677379859197[[#This Row],[PP]]="N"),"N",IF(OR(Tabulka17101325313743495561677379859197[[#This Row],[LP]]="D",Tabulka17101325313743495561677379859197[[#This Row],[PP]]="D"),"D",IF(OR(Tabulka17101325313743495561677379859197[[#This Row],[LP]]="NEÚČAST",Tabulka17101325313743495561677379859197[[#This Row],[PP]]="NEÚČAST"),"NEÚČAST",IF(OR(Tabulka17101325313743495561677379859197[[#This Row],[LP]]="",Tabulka17101325313743495561677379859197[[#This Row],[PP]]=""),"",MAX(Tabulka17101325313743495561677379859197[[#This Row],[LP]:[PP]])))))</f>
        <v/>
      </c>
      <c r="H14" s="1">
        <f>COUNTIF(Tabulka17101325313743495561677379859197[[#This Row],[Tým]],"*")</f>
        <v>0</v>
      </c>
      <c r="I14" s="1">
        <f>COUNTIF(Tabulka17101325313743495561677379859197[[#This Row],[Výsledný čas]],"NEÚČAST")</f>
        <v>0</v>
      </c>
      <c r="J14" s="1" t="str">
        <f>IF(Tabulka17101325313743495561677379859197[[#This Row],[Výsledný čas]]="N",998,IF(Tabulka17101325313743495561677379859197[[#This Row],[Výsledný čas]]="D",998,IF(Tabulka17101325313743495561677379859197[[#This Row],[Výsledný čas]]="","",Tabulka17101325313743495561677379859197[[#This Row],[Výsledný čas]])))</f>
        <v/>
      </c>
      <c r="N14" s="68"/>
      <c r="P14" s="7"/>
      <c r="Q14" s="8"/>
      <c r="R14" s="8"/>
      <c r="Z14" s="31" t="e">
        <f>IF(OR(Tabulka38111426323844505662687480869298[Výsledný čas]="N",Tabulka38111426323844505662687480869298[Výsledný čas]="D",Tabulka38111426323844505662687480869298[Výsledný čas]="NEÚČAST"),Uvod!$E$4,_xlfn.RANK.EQ(Tabulka38111426323844505662687480869298[[#This Row],[ ]],Tabulka38111426323844505662687480869298[[ ]],1))</f>
        <v>#N/A</v>
      </c>
      <c r="AA14" s="27"/>
      <c r="AB14" s="44" t="e">
        <f>VLOOKUP(Tabulka38111426323844505662687480869298[[#This Row],[Tým]],Tabulka17101325313743495561677379859197[[Tým]:[ ]],2,FALSE)</f>
        <v>#N/A</v>
      </c>
      <c r="AC14" s="44" t="e">
        <f>VLOOKUP(Tabulka38111426323844505662687480869298[[#This Row],[Tým]],Tabulka17101325313743495561677379859197[[Tým]:[ ]],3,FALSE)</f>
        <v>#N/A</v>
      </c>
      <c r="AD14" s="25" t="e">
        <f>VLOOKUP(Tabulka38111426323844505662687480869298[[#This Row],[Tým]],Tabulka17101325313743495561677379859197[[Tým]:[ ]],4,FALSE)</f>
        <v>#N/A</v>
      </c>
      <c r="AE14" s="25" t="e">
        <f>VLOOKUP(Tabulka38111426323844505662687480869298[[#This Row],[Tým]],Tabulka17101325313743495561677379859197[[Tým]:[ ]],7,FALSE)</f>
        <v>#N/A</v>
      </c>
      <c r="AF14" s="29" t="e">
        <f>IF(Tabulka38111426323844505662687480869298[[#This Row],[Výsledný čas]]="N",5,IF(Tabulka38111426323844505662687480869298[[#This Row],[Výsledný čas]]="D",0,IF(Tabulka38111426323844505662687480869298[[#This Row],[Výsledný čas]]="NEÚČAST",0,Tabulka4[[#Totals],[Týmy muži]]+6-Tabulka38111426323844505662687480869298[[#This Row],[Umístění]])))</f>
        <v>#N/A</v>
      </c>
      <c r="AH14" s="31" t="e">
        <f>_xlfn.RANK.EQ(Tabulka59121527333945515763697581879399[[#This Row],[Body]],Tabulka59121527333945515763697581879399[Body],0)</f>
        <v>#N/A</v>
      </c>
      <c r="AI14" s="27"/>
      <c r="AJ14" s="25" t="e">
        <f>VLOOKUP(Tabulka59121527333945515763697581879399[[#This Row],[Tým]],Tabulka38111426323844505662687480869298[[Tým]:[Body]],6,FALSE)+Tabulka59121527333945515763697581879399[[#This Row],[ ]]</f>
        <v>#N/A</v>
      </c>
      <c r="AK14" s="47" t="e">
        <f>VLOOKUP(Tabulka59121527333945515763697581879399[[#This Row],[Tým]],Tabulka591215273339455157636975818793[[Tým]:[Body]],2,FALSE)</f>
        <v>#N/A</v>
      </c>
      <c r="AL14" s="39" t="e">
        <f>Tabulka59121527333945515763697581879399[[#This Row],[Umístění]]</f>
        <v>#N/A</v>
      </c>
      <c r="AP14" s="1"/>
    </row>
    <row r="15" spans="1:42" ht="24.95" customHeight="1" x14ac:dyDescent="0.4">
      <c r="B15" s="6"/>
      <c r="C15" s="1" t="str">
        <f>IF(Tabulka17101325313743495561677379859197[[#This Row],[ ]]="","",IF(Tabulka17101325313743495561677379859197[[#This Row],[ ]]="NEÚČAST","",IF(OR(Tabulka17101325313743495561677379859197[Výsledný čas]="N",Tabulka17101325313743495561677379859197[Výsledný čas]="D"),$L$4-$L$5,_xlfn.RANK.EQ(Tabulka17101325313743495561677379859197[[#This Row],[ ]],Tabulka17101325313743495561677379859197[[ ]],1))))</f>
        <v/>
      </c>
      <c r="D15" s="7"/>
      <c r="E15" s="8"/>
      <c r="F15" s="8"/>
      <c r="G15" s="9" t="str">
        <f>IF(OR(Tabulka17101325313743495561677379859197[[#This Row],[LP]]="N",Tabulka17101325313743495561677379859197[[#This Row],[PP]]="N"),"N",IF(OR(Tabulka17101325313743495561677379859197[[#This Row],[LP]]="D",Tabulka17101325313743495561677379859197[[#This Row],[PP]]="D"),"D",IF(OR(Tabulka17101325313743495561677379859197[[#This Row],[LP]]="NEÚČAST",Tabulka17101325313743495561677379859197[[#This Row],[PP]]="NEÚČAST"),"NEÚČAST",IF(OR(Tabulka17101325313743495561677379859197[[#This Row],[LP]]="",Tabulka17101325313743495561677379859197[[#This Row],[PP]]=""),"",MAX(Tabulka17101325313743495561677379859197[[#This Row],[LP]:[PP]])))))</f>
        <v/>
      </c>
      <c r="H15" s="1">
        <f>COUNTIF(Tabulka17101325313743495561677379859197[[#This Row],[Tým]],"*")</f>
        <v>0</v>
      </c>
      <c r="I15" s="1">
        <f>COUNTIF(Tabulka17101325313743495561677379859197[[#This Row],[Výsledný čas]],"NEÚČAST")</f>
        <v>0</v>
      </c>
      <c r="J15" s="1" t="str">
        <f>IF(Tabulka17101325313743495561677379859197[[#This Row],[Výsledný čas]]="N",998,IF(Tabulka17101325313743495561677379859197[[#This Row],[Výsledný čas]]="D",998,IF(Tabulka17101325313743495561677379859197[[#This Row],[Výsledný čas]]="","",Tabulka17101325313743495561677379859197[[#This Row],[Výsledný čas]])))</f>
        <v/>
      </c>
      <c r="N15" s="68"/>
      <c r="P15" s="7"/>
      <c r="Q15" s="8"/>
      <c r="R15" s="8"/>
      <c r="Z15" s="31" t="e">
        <f>IF(OR(Tabulka38111426323844505662687480869298[Výsledný čas]="N",Tabulka38111426323844505662687480869298[Výsledný čas]="D",Tabulka38111426323844505662687480869298[Výsledný čas]="NEÚČAST"),Uvod!$E$4,_xlfn.RANK.EQ(Tabulka38111426323844505662687480869298[[#This Row],[ ]],Tabulka38111426323844505662687480869298[[ ]],1))</f>
        <v>#N/A</v>
      </c>
      <c r="AA15" s="27"/>
      <c r="AB15" s="44" t="e">
        <f>VLOOKUP(Tabulka38111426323844505662687480869298[[#This Row],[Tým]],Tabulka17101325313743495561677379859197[[Tým]:[ ]],2,FALSE)</f>
        <v>#N/A</v>
      </c>
      <c r="AC15" s="44" t="e">
        <f>VLOOKUP(Tabulka38111426323844505662687480869298[[#This Row],[Tým]],Tabulka17101325313743495561677379859197[[Tým]:[ ]],3,FALSE)</f>
        <v>#N/A</v>
      </c>
      <c r="AD15" s="25" t="e">
        <f>VLOOKUP(Tabulka38111426323844505662687480869298[[#This Row],[Tým]],Tabulka17101325313743495561677379859197[[Tým]:[ ]],4,FALSE)</f>
        <v>#N/A</v>
      </c>
      <c r="AE15" s="25" t="e">
        <f>VLOOKUP(Tabulka38111426323844505662687480869298[[#This Row],[Tým]],Tabulka17101325313743495561677379859197[[Tým]:[ ]],7,FALSE)</f>
        <v>#N/A</v>
      </c>
      <c r="AF15" s="29" t="e">
        <f>IF(Tabulka38111426323844505662687480869298[[#This Row],[Výsledný čas]]="N",5,IF(Tabulka38111426323844505662687480869298[[#This Row],[Výsledný čas]]="D",0,IF(Tabulka38111426323844505662687480869298[[#This Row],[Výsledný čas]]="NEÚČAST",0,Tabulka4[[#Totals],[Týmy muži]]+6-Tabulka38111426323844505662687480869298[[#This Row],[Umístění]])))</f>
        <v>#N/A</v>
      </c>
      <c r="AH15" s="31" t="e">
        <f>_xlfn.RANK.EQ(Tabulka59121527333945515763697581879399[[#This Row],[Body]],Tabulka59121527333945515763697581879399[Body],0)</f>
        <v>#N/A</v>
      </c>
      <c r="AI15" s="27"/>
      <c r="AJ15" s="25" t="e">
        <f>VLOOKUP(Tabulka59121527333945515763697581879399[[#This Row],[Tým]],Tabulka38111426323844505662687480869298[[Tým]:[Body]],6,FALSE)+Tabulka59121527333945515763697581879399[[#This Row],[ ]]</f>
        <v>#N/A</v>
      </c>
      <c r="AK15" s="47" t="e">
        <f>VLOOKUP(Tabulka59121527333945515763697581879399[[#This Row],[Tým]],Tabulka591215273339455157636975818793[[Tým]:[Body]],2,FALSE)</f>
        <v>#N/A</v>
      </c>
      <c r="AL15" s="39" t="e">
        <f>Tabulka59121527333945515763697581879399[[#This Row],[Umístění]]</f>
        <v>#N/A</v>
      </c>
      <c r="AP15" s="1"/>
    </row>
    <row r="16" spans="1:42" ht="24.95" customHeight="1" x14ac:dyDescent="0.4">
      <c r="B16" s="11"/>
      <c r="C16" s="1" t="str">
        <f>IF(Tabulka17101325313743495561677379859197[[#This Row],[ ]]="","",IF(Tabulka17101325313743495561677379859197[[#This Row],[ ]]="NEÚČAST","",IF(OR(Tabulka17101325313743495561677379859197[Výsledný čas]="N",Tabulka17101325313743495561677379859197[Výsledný čas]="D"),$L$4-$L$5,_xlfn.RANK.EQ(Tabulka17101325313743495561677379859197[[#This Row],[ ]],Tabulka17101325313743495561677379859197[[ ]],1))))</f>
        <v/>
      </c>
      <c r="D16" s="7"/>
      <c r="E16" s="8"/>
      <c r="F16" s="8"/>
      <c r="G16" s="9" t="str">
        <f>IF(OR(Tabulka17101325313743495561677379859197[[#This Row],[LP]]="N",Tabulka17101325313743495561677379859197[[#This Row],[PP]]="N"),"N",IF(OR(Tabulka17101325313743495561677379859197[[#This Row],[LP]]="D",Tabulka17101325313743495561677379859197[[#This Row],[PP]]="D"),"D",IF(OR(Tabulka17101325313743495561677379859197[[#This Row],[LP]]="NEÚČAST",Tabulka17101325313743495561677379859197[[#This Row],[PP]]="NEÚČAST"),"NEÚČAST",IF(OR(Tabulka17101325313743495561677379859197[[#This Row],[LP]]="",Tabulka17101325313743495561677379859197[[#This Row],[PP]]=""),"",MAX(Tabulka17101325313743495561677379859197[[#This Row],[LP]:[PP]])))))</f>
        <v/>
      </c>
      <c r="H16" s="1">
        <f>COUNTIF(Tabulka17101325313743495561677379859197[[#This Row],[Tým]],"*")</f>
        <v>0</v>
      </c>
      <c r="I16" s="1">
        <f>COUNTIF(Tabulka17101325313743495561677379859197[[#This Row],[Výsledný čas]],"NEÚČAST")</f>
        <v>0</v>
      </c>
      <c r="J16" s="1" t="str">
        <f>IF(Tabulka17101325313743495561677379859197[[#This Row],[Výsledný čas]]="N",998,IF(Tabulka17101325313743495561677379859197[[#This Row],[Výsledný čas]]="D",998,IF(Tabulka17101325313743495561677379859197[[#This Row],[Výsledný čas]]="","",Tabulka17101325313743495561677379859197[[#This Row],[Výsledný čas]])))</f>
        <v/>
      </c>
      <c r="N16" s="70"/>
      <c r="P16" s="7"/>
      <c r="Q16" s="8"/>
      <c r="R16" s="8"/>
      <c r="Z16" s="31" t="e">
        <f>IF(OR(Tabulka38111426323844505662687480869298[Výsledný čas]="N",Tabulka38111426323844505662687480869298[Výsledný čas]="D",Tabulka38111426323844505662687480869298[Výsledný čas]="NEÚČAST"),Uvod!$E$4,_xlfn.RANK.EQ(Tabulka38111426323844505662687480869298[[#This Row],[ ]],Tabulka38111426323844505662687480869298[[ ]],1))</f>
        <v>#N/A</v>
      </c>
      <c r="AA16" s="27"/>
      <c r="AB16" s="44" t="e">
        <f>VLOOKUP(Tabulka38111426323844505662687480869298[[#This Row],[Tým]],Tabulka17101325313743495561677379859197[[Tým]:[ ]],2,FALSE)</f>
        <v>#N/A</v>
      </c>
      <c r="AC16" s="44" t="e">
        <f>VLOOKUP(Tabulka38111426323844505662687480869298[[#This Row],[Tým]],Tabulka17101325313743495561677379859197[[Tým]:[ ]],3,FALSE)</f>
        <v>#N/A</v>
      </c>
      <c r="AD16" s="25" t="e">
        <f>VLOOKUP(Tabulka38111426323844505662687480869298[[#This Row],[Tým]],Tabulka17101325313743495561677379859197[[Tým]:[ ]],4,FALSE)</f>
        <v>#N/A</v>
      </c>
      <c r="AE16" s="25" t="e">
        <f>VLOOKUP(Tabulka38111426323844505662687480869298[[#This Row],[Tým]],Tabulka17101325313743495561677379859197[[Tým]:[ ]],7,FALSE)</f>
        <v>#N/A</v>
      </c>
      <c r="AF16" s="29" t="e">
        <f>IF(Tabulka38111426323844505662687480869298[[#This Row],[Výsledný čas]]="N",5,IF(Tabulka38111426323844505662687480869298[[#This Row],[Výsledný čas]]="D",0,IF(Tabulka38111426323844505662687480869298[[#This Row],[Výsledný čas]]="NEÚČAST",0,Tabulka4[[#Totals],[Týmy muži]]+6-Tabulka38111426323844505662687480869298[[#This Row],[Umístění]])))</f>
        <v>#N/A</v>
      </c>
      <c r="AH16" s="31" t="e">
        <f>_xlfn.RANK.EQ(Tabulka59121527333945515763697581879399[[#This Row],[Body]],Tabulka59121527333945515763697581879399[Body],0)</f>
        <v>#N/A</v>
      </c>
      <c r="AI16" s="27"/>
      <c r="AJ16" s="25" t="e">
        <f>VLOOKUP(Tabulka59121527333945515763697581879399[[#This Row],[Tým]],Tabulka38111426323844505662687480869298[[Tým]:[Body]],6,FALSE)+Tabulka59121527333945515763697581879399[[#This Row],[ ]]</f>
        <v>#N/A</v>
      </c>
      <c r="AK16" s="47" t="e">
        <f>VLOOKUP(Tabulka59121527333945515763697581879399[[#This Row],[Tým]],Tabulka591215273339455157636975818793[[Tým]:[Body]],2,FALSE)</f>
        <v>#N/A</v>
      </c>
      <c r="AL16" s="39" t="e">
        <f>Tabulka59121527333945515763697581879399[[#This Row],[Umístění]]</f>
        <v>#N/A</v>
      </c>
      <c r="AP16" s="1"/>
    </row>
    <row r="17" spans="2:42" ht="24.95" customHeight="1" x14ac:dyDescent="0.4">
      <c r="B17" s="6"/>
      <c r="C17" s="1" t="str">
        <f>IF(Tabulka17101325313743495561677379859197[[#This Row],[ ]]="","",IF(Tabulka17101325313743495561677379859197[[#This Row],[ ]]="NEÚČAST","",IF(OR(Tabulka17101325313743495561677379859197[Výsledný čas]="N",Tabulka17101325313743495561677379859197[Výsledný čas]="D"),$L$4-$L$5,_xlfn.RANK.EQ(Tabulka17101325313743495561677379859197[[#This Row],[ ]],Tabulka17101325313743495561677379859197[[ ]],1))))</f>
        <v/>
      </c>
      <c r="D17" s="12"/>
      <c r="E17" s="8"/>
      <c r="F17" s="8"/>
      <c r="G17" s="9" t="str">
        <f>IF(OR(Tabulka17101325313743495561677379859197[[#This Row],[LP]]="N",Tabulka17101325313743495561677379859197[[#This Row],[PP]]="N"),"N",IF(OR(Tabulka17101325313743495561677379859197[[#This Row],[LP]]="D",Tabulka17101325313743495561677379859197[[#This Row],[PP]]="D"),"D",IF(OR(Tabulka17101325313743495561677379859197[[#This Row],[LP]]="NEÚČAST",Tabulka17101325313743495561677379859197[[#This Row],[PP]]="NEÚČAST"),"NEÚČAST",IF(OR(Tabulka17101325313743495561677379859197[[#This Row],[LP]]="",Tabulka17101325313743495561677379859197[[#This Row],[PP]]=""),"",MAX(Tabulka17101325313743495561677379859197[[#This Row],[LP]:[PP]])))))</f>
        <v/>
      </c>
      <c r="H17" s="1">
        <f>COUNTIF(Tabulka17101325313743495561677379859197[[#This Row],[Tým]],"*")</f>
        <v>0</v>
      </c>
      <c r="I17" s="1">
        <f>COUNTIF(Tabulka17101325313743495561677379859197[[#This Row],[Výsledný čas]],"NEÚČAST")</f>
        <v>0</v>
      </c>
      <c r="J17" s="1" t="str">
        <f>IF(Tabulka17101325313743495561677379859197[[#This Row],[Výsledný čas]]="N",998,IF(Tabulka17101325313743495561677379859197[[#This Row],[Výsledný čas]]="D",998,IF(Tabulka17101325313743495561677379859197[[#This Row],[Výsledný čas]]="","",Tabulka17101325313743495561677379859197[[#This Row],[Výsledný čas]])))</f>
        <v/>
      </c>
      <c r="P17" s="7"/>
      <c r="Q17" s="8"/>
      <c r="R17" s="8"/>
      <c r="Z17" s="31" t="e">
        <f>IF(OR(Tabulka38111426323844505662687480869298[Výsledný čas]="N",Tabulka38111426323844505662687480869298[Výsledný čas]="D",Tabulka38111426323844505662687480869298[Výsledný čas]="NEÚČAST"),Uvod!$E$4,_xlfn.RANK.EQ(Tabulka38111426323844505662687480869298[[#This Row],[ ]],Tabulka38111426323844505662687480869298[[ ]],1))</f>
        <v>#N/A</v>
      </c>
      <c r="AA17" s="27"/>
      <c r="AB17" s="44" t="e">
        <f>VLOOKUP(Tabulka38111426323844505662687480869298[[#This Row],[Tým]],Tabulka17101325313743495561677379859197[[Tým]:[ ]],2,FALSE)</f>
        <v>#N/A</v>
      </c>
      <c r="AC17" s="44" t="e">
        <f>VLOOKUP(Tabulka38111426323844505662687480869298[[#This Row],[Tým]],Tabulka17101325313743495561677379859197[[Tým]:[ ]],3,FALSE)</f>
        <v>#N/A</v>
      </c>
      <c r="AD17" s="25" t="e">
        <f>VLOOKUP(Tabulka38111426323844505662687480869298[[#This Row],[Tým]],Tabulka17101325313743495561677379859197[[Tým]:[ ]],4,FALSE)</f>
        <v>#N/A</v>
      </c>
      <c r="AE17" s="25" t="e">
        <f>VLOOKUP(Tabulka38111426323844505662687480869298[[#This Row],[Tým]],Tabulka17101325313743495561677379859197[[Tým]:[ ]],7,FALSE)</f>
        <v>#N/A</v>
      </c>
      <c r="AF17" s="29" t="e">
        <f>IF(Tabulka38111426323844505662687480869298[[#This Row],[Výsledný čas]]="N",5,IF(Tabulka38111426323844505662687480869298[[#This Row],[Výsledný čas]]="D",0,IF(Tabulka38111426323844505662687480869298[[#This Row],[Výsledný čas]]="NEÚČAST",0,Tabulka4[[#Totals],[Týmy muži]]+6-Tabulka38111426323844505662687480869298[[#This Row],[Umístění]])))</f>
        <v>#N/A</v>
      </c>
      <c r="AH17" s="31" t="e">
        <f>_xlfn.RANK.EQ(Tabulka59121527333945515763697581879399[[#This Row],[Body]],Tabulka59121527333945515763697581879399[Body],0)</f>
        <v>#N/A</v>
      </c>
      <c r="AI17" s="27"/>
      <c r="AJ17" s="25" t="e">
        <f>VLOOKUP(Tabulka59121527333945515763697581879399[[#This Row],[Tým]],Tabulka38111426323844505662687480869298[[Tým]:[Body]],6,FALSE)+Tabulka59121527333945515763697581879399[[#This Row],[ ]]</f>
        <v>#N/A</v>
      </c>
      <c r="AK17" s="47" t="e">
        <f>VLOOKUP(Tabulka59121527333945515763697581879399[[#This Row],[Tým]],Tabulka591215273339455157636975818793[[Tým]:[Body]],2,FALSE)</f>
        <v>#N/A</v>
      </c>
      <c r="AL17" s="39" t="e">
        <f>Tabulka59121527333945515763697581879399[[#This Row],[Umístění]]</f>
        <v>#N/A</v>
      </c>
      <c r="AP17" s="1"/>
    </row>
    <row r="18" spans="2:42" ht="24.95" customHeight="1" x14ac:dyDescent="0.4">
      <c r="B18" s="11"/>
      <c r="C18" s="1" t="str">
        <f>IF(Tabulka17101325313743495561677379859197[[#This Row],[ ]]="","",IF(Tabulka17101325313743495561677379859197[[#This Row],[ ]]="NEÚČAST","",IF(OR(Tabulka17101325313743495561677379859197[Výsledný čas]="N",Tabulka17101325313743495561677379859197[Výsledný čas]="D"),$L$4-$L$5,_xlfn.RANK.EQ(Tabulka17101325313743495561677379859197[[#This Row],[ ]],Tabulka17101325313743495561677379859197[[ ]],1))))</f>
        <v/>
      </c>
      <c r="D18" s="12"/>
      <c r="E18" s="8"/>
      <c r="F18" s="8"/>
      <c r="G18" s="9" t="str">
        <f>IF(OR(Tabulka17101325313743495561677379859197[[#This Row],[LP]]="N",Tabulka17101325313743495561677379859197[[#This Row],[PP]]="N"),"N",IF(OR(Tabulka17101325313743495561677379859197[[#This Row],[LP]]="D",Tabulka17101325313743495561677379859197[[#This Row],[PP]]="D"),"D",IF(OR(Tabulka17101325313743495561677379859197[[#This Row],[LP]]="NEÚČAST",Tabulka17101325313743495561677379859197[[#This Row],[PP]]="NEÚČAST"),"NEÚČAST",IF(OR(Tabulka17101325313743495561677379859197[[#This Row],[LP]]="",Tabulka17101325313743495561677379859197[[#This Row],[PP]]=""),"",MAX(Tabulka17101325313743495561677379859197[[#This Row],[LP]:[PP]])))))</f>
        <v/>
      </c>
      <c r="H18" s="1">
        <f>COUNTIF(Tabulka17101325313743495561677379859197[[#This Row],[Tým]],"*")</f>
        <v>0</v>
      </c>
      <c r="I18" s="1">
        <f>COUNTIF(Tabulka17101325313743495561677379859197[[#This Row],[Výsledný čas]],"NEÚČAST")</f>
        <v>0</v>
      </c>
      <c r="J18" s="1" t="str">
        <f>IF(Tabulka17101325313743495561677379859197[[#This Row],[Výsledný čas]]="N",998,IF(Tabulka17101325313743495561677379859197[[#This Row],[Výsledný čas]]="D",998,IF(Tabulka17101325313743495561677379859197[[#This Row],[Výsledný čas]]="","",Tabulka17101325313743495561677379859197[[#This Row],[Výsledný čas]])))</f>
        <v/>
      </c>
      <c r="P18" s="7"/>
      <c r="Q18" s="8"/>
      <c r="R18" s="8"/>
      <c r="Z18" s="31" t="e">
        <f>IF(OR(Tabulka38111426323844505662687480869298[Výsledný čas]="N",Tabulka38111426323844505662687480869298[Výsledný čas]="D",Tabulka38111426323844505662687480869298[Výsledný čas]="NEÚČAST"),Uvod!$E$4,_xlfn.RANK.EQ(Tabulka38111426323844505662687480869298[[#This Row],[ ]],Tabulka38111426323844505662687480869298[[ ]],1))</f>
        <v>#N/A</v>
      </c>
      <c r="AA18" s="27"/>
      <c r="AB18" s="44" t="e">
        <f>VLOOKUP(Tabulka38111426323844505662687480869298[[#This Row],[Tým]],Tabulka17101325313743495561677379859197[[Tým]:[ ]],2,FALSE)</f>
        <v>#N/A</v>
      </c>
      <c r="AC18" s="44" t="e">
        <f>VLOOKUP(Tabulka38111426323844505662687480869298[[#This Row],[Tým]],Tabulka17101325313743495561677379859197[[Tým]:[ ]],3,FALSE)</f>
        <v>#N/A</v>
      </c>
      <c r="AD18" s="25" t="e">
        <f>VLOOKUP(Tabulka38111426323844505662687480869298[[#This Row],[Tým]],Tabulka17101325313743495561677379859197[[Tým]:[ ]],4,FALSE)</f>
        <v>#N/A</v>
      </c>
      <c r="AE18" s="25" t="e">
        <f>VLOOKUP(Tabulka38111426323844505662687480869298[[#This Row],[Tým]],Tabulka17101325313743495561677379859197[[Tým]:[ ]],7,FALSE)</f>
        <v>#N/A</v>
      </c>
      <c r="AF18" s="29" t="e">
        <f>IF(Tabulka38111426323844505662687480869298[[#This Row],[Výsledný čas]]="N",5,IF(Tabulka38111426323844505662687480869298[[#This Row],[Výsledný čas]]="D",0,IF(Tabulka38111426323844505662687480869298[[#This Row],[Výsledný čas]]="NEÚČAST",0,Tabulka4[[#Totals],[Týmy muži]]+6-Tabulka38111426323844505662687480869298[[#This Row],[Umístění]])))</f>
        <v>#N/A</v>
      </c>
      <c r="AH18" s="31" t="e">
        <f>_xlfn.RANK.EQ(Tabulka59121527333945515763697581879399[[#This Row],[Body]],Tabulka59121527333945515763697581879399[Body],0)</f>
        <v>#N/A</v>
      </c>
      <c r="AI18" s="27"/>
      <c r="AJ18" s="25" t="e">
        <f>VLOOKUP(Tabulka59121527333945515763697581879399[[#This Row],[Tým]],Tabulka38111426323844505662687480869298[[Tým]:[Body]],6,FALSE)+Tabulka59121527333945515763697581879399[[#This Row],[ ]]</f>
        <v>#N/A</v>
      </c>
      <c r="AK18" s="47" t="e">
        <f>VLOOKUP(Tabulka59121527333945515763697581879399[[#This Row],[Tým]],Tabulka591215273339455157636975818793[[Tým]:[Body]],2,FALSE)</f>
        <v>#N/A</v>
      </c>
      <c r="AL18" s="39" t="e">
        <f>Tabulka59121527333945515763697581879399[[#This Row],[Umístění]]</f>
        <v>#N/A</v>
      </c>
      <c r="AP18" s="1"/>
    </row>
    <row r="19" spans="2:42" ht="24.95" customHeight="1" x14ac:dyDescent="0.4">
      <c r="B19" s="6"/>
      <c r="C19" s="1" t="str">
        <f>IF(Tabulka17101325313743495561677379859197[[#This Row],[ ]]="","",IF(Tabulka17101325313743495561677379859197[[#This Row],[ ]]="NEÚČAST","",IF(OR(Tabulka17101325313743495561677379859197[Výsledný čas]="N",Tabulka17101325313743495561677379859197[Výsledný čas]="D"),$L$4-$L$5,_xlfn.RANK.EQ(Tabulka17101325313743495561677379859197[[#This Row],[ ]],Tabulka17101325313743495561677379859197[[ ]],1))))</f>
        <v/>
      </c>
      <c r="D19" s="7"/>
      <c r="E19" s="8"/>
      <c r="F19" s="8"/>
      <c r="G19" s="9" t="str">
        <f>IF(OR(Tabulka17101325313743495561677379859197[[#This Row],[LP]]="N",Tabulka17101325313743495561677379859197[[#This Row],[PP]]="N"),"N",IF(OR(Tabulka17101325313743495561677379859197[[#This Row],[LP]]="D",Tabulka17101325313743495561677379859197[[#This Row],[PP]]="D"),"D",IF(OR(Tabulka17101325313743495561677379859197[[#This Row],[LP]]="NEÚČAST",Tabulka17101325313743495561677379859197[[#This Row],[PP]]="NEÚČAST"),"NEÚČAST",IF(OR(Tabulka17101325313743495561677379859197[[#This Row],[LP]]="",Tabulka17101325313743495561677379859197[[#This Row],[PP]]=""),"",MAX(Tabulka17101325313743495561677379859197[[#This Row],[LP]:[PP]])))))</f>
        <v/>
      </c>
      <c r="H19" s="1">
        <f>COUNTIF(Tabulka17101325313743495561677379859197[[#This Row],[Tým]],"*")</f>
        <v>0</v>
      </c>
      <c r="I19" s="1">
        <f>COUNTIF(Tabulka17101325313743495561677379859197[[#This Row],[Výsledný čas]],"NEÚČAST")</f>
        <v>0</v>
      </c>
      <c r="J19" s="1" t="str">
        <f>IF(Tabulka17101325313743495561677379859197[[#This Row],[Výsledný čas]]="N",998,IF(Tabulka17101325313743495561677379859197[[#This Row],[Výsledný čas]]="D",998,IF(Tabulka17101325313743495561677379859197[[#This Row],[Výsledný čas]]="","",Tabulka17101325313743495561677379859197[[#This Row],[Výsledný čas]])))</f>
        <v/>
      </c>
      <c r="N19" s="68"/>
      <c r="P19" s="10"/>
      <c r="Q19" s="8"/>
      <c r="R19" s="8"/>
      <c r="Z19" s="31" t="e">
        <f>IF(OR(Tabulka38111426323844505662687480869298[Výsledný čas]="N",Tabulka38111426323844505662687480869298[Výsledný čas]="D",Tabulka38111426323844505662687480869298[Výsledný čas]="NEÚČAST"),Uvod!$E$4,_xlfn.RANK.EQ(Tabulka38111426323844505662687480869298[[#This Row],[ ]],Tabulka38111426323844505662687480869298[[ ]],1))</f>
        <v>#N/A</v>
      </c>
      <c r="AA19" s="27"/>
      <c r="AB19" s="44" t="e">
        <f>VLOOKUP(Tabulka38111426323844505662687480869298[[#This Row],[Tým]],Tabulka17101325313743495561677379859197[[Tým]:[ ]],2,FALSE)</f>
        <v>#N/A</v>
      </c>
      <c r="AC19" s="44" t="e">
        <f>VLOOKUP(Tabulka38111426323844505662687480869298[[#This Row],[Tým]],Tabulka17101325313743495561677379859197[[Tým]:[ ]],3,FALSE)</f>
        <v>#N/A</v>
      </c>
      <c r="AD19" s="25" t="e">
        <f>VLOOKUP(Tabulka38111426323844505662687480869298[[#This Row],[Tým]],Tabulka17101325313743495561677379859197[[Tým]:[ ]],4,FALSE)</f>
        <v>#N/A</v>
      </c>
      <c r="AE19" s="25" t="e">
        <f>VLOOKUP(Tabulka38111426323844505662687480869298[[#This Row],[Tým]],Tabulka17101325313743495561677379859197[[Tým]:[ ]],7,FALSE)</f>
        <v>#N/A</v>
      </c>
      <c r="AF19" s="29" t="e">
        <f>IF(Tabulka38111426323844505662687480869298[[#This Row],[Výsledný čas]]="N",5,IF(Tabulka38111426323844505662687480869298[[#This Row],[Výsledný čas]]="D",0,IF(Tabulka38111426323844505662687480869298[[#This Row],[Výsledný čas]]="NEÚČAST",0,Tabulka4[[#Totals],[Týmy muži]]+6-Tabulka38111426323844505662687480869298[[#This Row],[Umístění]])))</f>
        <v>#N/A</v>
      </c>
      <c r="AH19" s="31" t="e">
        <f>_xlfn.RANK.EQ(Tabulka59121527333945515763697581879399[[#This Row],[Body]],Tabulka59121527333945515763697581879399[Body],0)</f>
        <v>#N/A</v>
      </c>
      <c r="AI19" s="27"/>
      <c r="AJ19" s="25" t="e">
        <f>VLOOKUP(Tabulka59121527333945515763697581879399[[#This Row],[Tým]],Tabulka38111426323844505662687480869298[[Tým]:[Body]],6,FALSE)+Tabulka59121527333945515763697581879399[[#This Row],[ ]]</f>
        <v>#N/A</v>
      </c>
      <c r="AK19" s="47" t="e">
        <f>VLOOKUP(Tabulka59121527333945515763697581879399[[#This Row],[Tým]],Tabulka591215273339455157636975818793[[Tým]:[Body]],2,FALSE)</f>
        <v>#N/A</v>
      </c>
      <c r="AL19" s="39" t="e">
        <f>Tabulka59121527333945515763697581879399[[#This Row],[Umístění]]</f>
        <v>#N/A</v>
      </c>
      <c r="AP19" s="1"/>
    </row>
    <row r="20" spans="2:42" ht="24.95" customHeight="1" thickBot="1" x14ac:dyDescent="0.45">
      <c r="B20" s="11"/>
      <c r="C20" s="1" t="str">
        <f>IF(Tabulka17101325313743495561677379859197[[#This Row],[ ]]="","",IF(Tabulka17101325313743495561677379859197[[#This Row],[ ]]="NEÚČAST","",IF(OR(Tabulka17101325313743495561677379859197[Výsledný čas]="N",Tabulka17101325313743495561677379859197[Výsledný čas]="D"),$L$4-$L$5,_xlfn.RANK.EQ(Tabulka17101325313743495561677379859197[[#This Row],[ ]],Tabulka17101325313743495561677379859197[[ ]],1))))</f>
        <v/>
      </c>
      <c r="D20" s="7"/>
      <c r="E20" s="8"/>
      <c r="F20" s="8"/>
      <c r="G20" s="9" t="str">
        <f>IF(OR(Tabulka17101325313743495561677379859197[[#This Row],[LP]]="N",Tabulka17101325313743495561677379859197[[#This Row],[PP]]="N"),"N",IF(OR(Tabulka17101325313743495561677379859197[[#This Row],[LP]]="D",Tabulka17101325313743495561677379859197[[#This Row],[PP]]="D"),"D",IF(OR(Tabulka17101325313743495561677379859197[[#This Row],[LP]]="NEÚČAST",Tabulka17101325313743495561677379859197[[#This Row],[PP]]="NEÚČAST"),"NEÚČAST",IF(OR(Tabulka17101325313743495561677379859197[[#This Row],[LP]]="",Tabulka17101325313743495561677379859197[[#This Row],[PP]]=""),"",MAX(Tabulka17101325313743495561677379859197[[#This Row],[LP]:[PP]])))))</f>
        <v/>
      </c>
      <c r="H20" s="1">
        <f>COUNTIF(Tabulka17101325313743495561677379859197[[#This Row],[Tým]],"*")</f>
        <v>0</v>
      </c>
      <c r="I20" s="1">
        <f>COUNTIF(Tabulka17101325313743495561677379859197[[#This Row],[Výsledný čas]],"NEÚČAST")</f>
        <v>0</v>
      </c>
      <c r="J20" s="1" t="str">
        <f>IF(Tabulka17101325313743495561677379859197[[#This Row],[Výsledný čas]]="N",998,IF(Tabulka17101325313743495561677379859197[[#This Row],[Výsledný čas]]="D",998,IF(Tabulka17101325313743495561677379859197[[#This Row],[Výsledný čas]]="","",Tabulka17101325313743495561677379859197[[#This Row],[Výsledný čas]])))</f>
        <v/>
      </c>
      <c r="N20" s="70"/>
      <c r="P20" s="10"/>
      <c r="Q20" s="8"/>
      <c r="R20" s="8"/>
      <c r="Z20" s="33" t="e">
        <f>IF(OR(Tabulka38111426323844505662687480869298[Výsledný čas]="N",Tabulka38111426323844505662687480869298[Výsledný čas]="D",Tabulka38111426323844505662687480869298[Výsledný čas]="NEÚČAST"),Uvod!$E$4,_xlfn.RANK.EQ(Tabulka38111426323844505662687480869298[[#This Row],[ ]],Tabulka38111426323844505662687480869298[[ ]],1))</f>
        <v>#N/A</v>
      </c>
      <c r="AA20" s="35"/>
      <c r="AB20" s="45" t="e">
        <f>VLOOKUP(Tabulka38111426323844505662687480869298[[#This Row],[Tým]],Tabulka17101325313743495561677379859197[[Tým]:[ ]],2,FALSE)</f>
        <v>#N/A</v>
      </c>
      <c r="AC20" s="45" t="e">
        <f>VLOOKUP(Tabulka38111426323844505662687480869298[[#This Row],[Tým]],Tabulka17101325313743495561677379859197[[Tým]:[ ]],3,FALSE)</f>
        <v>#N/A</v>
      </c>
      <c r="AD20" s="34" t="e">
        <f>VLOOKUP(Tabulka38111426323844505662687480869298[[#This Row],[Tým]],Tabulka17101325313743495561677379859197[[Tým]:[ ]],4,FALSE)</f>
        <v>#N/A</v>
      </c>
      <c r="AE20" s="34" t="e">
        <f>VLOOKUP(Tabulka38111426323844505662687480869298[[#This Row],[Tým]],Tabulka17101325313743495561677379859197[[Tým]:[ ]],7,FALSE)</f>
        <v>#N/A</v>
      </c>
      <c r="AF20" s="36" t="e">
        <f>IF(Tabulka38111426323844505662687480869298[[#This Row],[Výsledný čas]]="N",5,IF(Tabulka38111426323844505662687480869298[[#This Row],[Výsledný čas]]="D",0,IF(Tabulka38111426323844505662687480869298[[#This Row],[Výsledný čas]]="NEÚČAST",0,Tabulka4[[#Totals],[Týmy muži]]+6-Tabulka38111426323844505662687480869298[[#This Row],[Umístění]])))</f>
        <v>#N/A</v>
      </c>
      <c r="AH20" s="33" t="e">
        <f>_xlfn.RANK.EQ(Tabulka59121527333945515763697581879399[[#This Row],[Body]],Tabulka59121527333945515763697581879399[Body],0)</f>
        <v>#N/A</v>
      </c>
      <c r="AI20" s="35"/>
      <c r="AJ20" s="34" t="e">
        <f>VLOOKUP(Tabulka59121527333945515763697581879399[[#This Row],[Tým]],Tabulka38111426323844505662687480869298[[Tým]:[Body]],6,FALSE)+Tabulka59121527333945515763697581879399[[#This Row],[ ]]</f>
        <v>#N/A</v>
      </c>
      <c r="AK20" s="48" t="e">
        <f>VLOOKUP(Tabulka59121527333945515763697581879399[[#This Row],[Tým]],Tabulka591215273339455157636975818793[[Tým]:[Body]],2,FALSE)</f>
        <v>#N/A</v>
      </c>
      <c r="AL20" s="41" t="e">
        <f>Tabulka59121527333945515763697581879399[[#This Row],[Umístění]]</f>
        <v>#N/A</v>
      </c>
      <c r="AP20" s="1"/>
    </row>
    <row r="21" spans="2:42" ht="24.95" customHeight="1" x14ac:dyDescent="0.4">
      <c r="B21" s="68"/>
      <c r="D21" s="7"/>
      <c r="E21" s="13"/>
      <c r="F21" s="8"/>
      <c r="P21" s="10"/>
      <c r="Q21" s="8"/>
      <c r="R21" s="8"/>
      <c r="AB21" s="3"/>
      <c r="AC21" s="3"/>
    </row>
    <row r="22" spans="2:42" ht="24.95" customHeight="1" thickBot="1" x14ac:dyDescent="0.45">
      <c r="B22" s="68"/>
      <c r="D22" s="7"/>
      <c r="E22" s="8"/>
      <c r="F22" s="8"/>
      <c r="P22" s="10"/>
      <c r="Q22" s="8"/>
      <c r="R22" s="8"/>
      <c r="AB22" s="3"/>
      <c r="AC22" s="3"/>
    </row>
    <row r="23" spans="2:42" ht="24.95" customHeight="1" x14ac:dyDescent="0.4">
      <c r="B23" s="68"/>
      <c r="D23" s="14"/>
      <c r="E23" s="8"/>
      <c r="F23" s="8"/>
      <c r="P23" s="10"/>
      <c r="Q23" s="8"/>
      <c r="R23" s="8"/>
      <c r="Z23" s="308" t="str">
        <f>N2</f>
        <v xml:space="preserve">Výsledky - Soutěže 15. kola NHHL 0.1. 1900  - ŽENY </v>
      </c>
      <c r="AA23" s="309"/>
      <c r="AB23" s="309"/>
      <c r="AC23" s="309"/>
      <c r="AD23" s="309"/>
      <c r="AE23" s="309"/>
      <c r="AF23" s="310"/>
      <c r="AH23" s="329" t="s">
        <v>148</v>
      </c>
      <c r="AI23" s="330"/>
      <c r="AJ23" s="330"/>
      <c r="AK23" s="330"/>
      <c r="AL23" s="330"/>
    </row>
    <row r="24" spans="2:42" ht="24.95" customHeight="1" x14ac:dyDescent="0.4">
      <c r="B24" s="70"/>
      <c r="D24" s="7"/>
      <c r="E24" s="8"/>
      <c r="F24" s="8"/>
      <c r="N24" s="68"/>
      <c r="P24" s="7"/>
      <c r="Q24" s="8"/>
      <c r="R24" s="8"/>
      <c r="Z24" s="31" t="s">
        <v>1</v>
      </c>
      <c r="AA24" s="25" t="s">
        <v>2</v>
      </c>
      <c r="AB24" s="25" t="s">
        <v>3</v>
      </c>
      <c r="AC24" s="25" t="s">
        <v>4</v>
      </c>
      <c r="AD24" s="25" t="s">
        <v>5</v>
      </c>
      <c r="AE24" s="25" t="s">
        <v>27</v>
      </c>
      <c r="AF24" s="29" t="s">
        <v>7</v>
      </c>
      <c r="AH24" s="31" t="s">
        <v>1</v>
      </c>
      <c r="AI24" s="25" t="s">
        <v>2</v>
      </c>
      <c r="AJ24" s="25" t="s">
        <v>7</v>
      </c>
      <c r="AK24" s="29" t="s">
        <v>27</v>
      </c>
      <c r="AL24" s="94" t="s">
        <v>73</v>
      </c>
      <c r="AM24" s="15"/>
      <c r="AP24" s="1"/>
    </row>
    <row r="25" spans="2:42" ht="24.95" customHeight="1" x14ac:dyDescent="0.4">
      <c r="D25" s="16"/>
      <c r="N25" s="70"/>
      <c r="P25" s="7"/>
      <c r="Q25" s="8"/>
      <c r="R25" s="8"/>
      <c r="Z25" s="31" t="e">
        <f>IF(OR(Tabulka3811142283440465258647076828894100[Výsledný čas]="N",Tabulka3811142283440465258647076828894100[Výsledný čas]="D",Tabulka3811142283440465258647076828894100[Výsledný čas]="NEÚČAST"),Uvod!$E$6,_xlfn.RANK.EQ(Tabulka3811142283440465258647076828894100[[#This Row],[ ]],Tabulka3811142283440465258647076828894100[[ ]],1))</f>
        <v>#N/A</v>
      </c>
      <c r="AA25" s="27"/>
      <c r="AB25" s="44" t="e">
        <f>VLOOKUP(Tabulka3811142283440465258647076828894100[[#This Row],[Tým]],Tabulka1710136303642485460667278849096102[[Tým]:[ ]],2,FALSE)</f>
        <v>#N/A</v>
      </c>
      <c r="AC25" s="44" t="e">
        <f>VLOOKUP(Tabulka3811142283440465258647076828894100[[#This Row],[Tým]],Tabulka1710136303642485460667278849096102[[Tým]:[ ]],3,FALSE)</f>
        <v>#N/A</v>
      </c>
      <c r="AD25" s="25" t="e">
        <f>VLOOKUP(Tabulka3811142283440465258647076828894100[[#This Row],[Tým]],Tabulka1710136303642485460667278849096102[[Tým]:[ ]],4,FALSE)</f>
        <v>#N/A</v>
      </c>
      <c r="AE25" s="25" t="e">
        <f>VLOOKUP(Tabulka3811142283440465258647076828894100[[#This Row],[Tým]],Tabulka1710136303642485460667278849096102[[Tým]:[ ]],7,FALSE)</f>
        <v>#N/A</v>
      </c>
      <c r="AF25" s="29" t="e">
        <f>IF(Tabulka3811142283440465258647076828894100[[#This Row],[Výsledný čas]]="N",5,IF(Tabulka3811142283440465258647076828894100[[#This Row],[Výsledný čas]]="D",0,IF(Tabulka3811142283440465258647076828894100[[#This Row],[Výsledný čas]]="NEÚČAST",0,Tabulka8[[#Totals],[Týmy ženy]]+6-Tabulka3811142283440465258647076828894100[[#This Row],[Umístění]])))</f>
        <v>#N/A</v>
      </c>
      <c r="AH25" s="31" t="e">
        <f>_xlfn.RANK.EQ(Tabulka5912153293541475359657177838995101[[#This Row],[Body]],Tabulka5912153293541475359657177838995101[Body],0)</f>
        <v>#N/A</v>
      </c>
      <c r="AI25" s="38"/>
      <c r="AJ25" s="25" t="e">
        <f>VLOOKUP(Tabulka5912153293541475359657177838995101[[#This Row],[Tým]],Tabulka3811142283440465258647076828894100[[Tým]:[Body]],6,FALSE)+Tabulka5912153293541475359657177838995101[[#This Row],[ ]]</f>
        <v>#N/A</v>
      </c>
      <c r="AK25" s="39" t="e">
        <f>VLOOKUP(Tabulka5912153293541475359657177838995101[[#This Row],[Tým]],Tabulka5912153293541475359657177838995[[Tým]:[Body]],2,FALSE)</f>
        <v>#N/A</v>
      </c>
      <c r="AL25" s="92" t="e">
        <f>Tabulka5912153293541475359657177838995101[[#This Row],[Umístění]]</f>
        <v>#N/A</v>
      </c>
      <c r="AM25" s="15"/>
      <c r="AP25" s="1"/>
    </row>
    <row r="26" spans="2:42" ht="24.95" customHeight="1" x14ac:dyDescent="0.4">
      <c r="D26" s="16"/>
      <c r="P26" s="7"/>
      <c r="Q26" s="8"/>
      <c r="R26" s="8"/>
      <c r="Z26" s="31" t="e">
        <f>IF(OR(Tabulka3811142283440465258647076828894100[Výsledný čas]="N",Tabulka3811142283440465258647076828894100[Výsledný čas]="D",Tabulka3811142283440465258647076828894100[Výsledný čas]="NEÚČAST"),Uvod!$E$6,_xlfn.RANK.EQ(Tabulka3811142283440465258647076828894100[[#This Row],[ ]],Tabulka3811142283440465258647076828894100[[ ]],1))</f>
        <v>#N/A</v>
      </c>
      <c r="AA26" s="27"/>
      <c r="AB26" s="44" t="e">
        <f>VLOOKUP(Tabulka3811142283440465258647076828894100[[#This Row],[Tým]],Tabulka1710136303642485460667278849096102[[Tým]:[ ]],2,FALSE)</f>
        <v>#N/A</v>
      </c>
      <c r="AC26" s="44" t="e">
        <f>VLOOKUP(Tabulka3811142283440465258647076828894100[[#This Row],[Tým]],Tabulka1710136303642485460667278849096102[[Tým]:[ ]],3,FALSE)</f>
        <v>#N/A</v>
      </c>
      <c r="AD26" s="25" t="e">
        <f>VLOOKUP(Tabulka3811142283440465258647076828894100[[#This Row],[Tým]],Tabulka1710136303642485460667278849096102[[Tým]:[ ]],4,FALSE)</f>
        <v>#N/A</v>
      </c>
      <c r="AE26" s="25" t="e">
        <f>VLOOKUP(Tabulka3811142283440465258647076828894100[[#This Row],[Tým]],Tabulka1710136303642485460667278849096102[[Tým]:[ ]],7,FALSE)</f>
        <v>#N/A</v>
      </c>
      <c r="AF26" s="29" t="e">
        <f>IF(Tabulka3811142283440465258647076828894100[[#This Row],[Výsledný čas]]="N",5,IF(Tabulka3811142283440465258647076828894100[[#This Row],[Výsledný čas]]="D",0,IF(Tabulka3811142283440465258647076828894100[[#This Row],[Výsledný čas]]="NEÚČAST",0,Tabulka8[[#Totals],[Týmy ženy]]+6-Tabulka3811142283440465258647076828894100[[#This Row],[Umístění]])))</f>
        <v>#N/A</v>
      </c>
      <c r="AH26" s="31" t="e">
        <f>_xlfn.RANK.EQ(Tabulka5912153293541475359657177838995101[[#This Row],[Body]],Tabulka5912153293541475359657177838995101[Body],0)</f>
        <v>#N/A</v>
      </c>
      <c r="AI26" s="38"/>
      <c r="AJ26" s="25" t="e">
        <f>VLOOKUP(Tabulka5912153293541475359657177838995101[[#This Row],[Tým]],Tabulka3811142283440465258647076828894100[[Tým]:[Body]],6,FALSE)+Tabulka5912153293541475359657177838995101[[#This Row],[ ]]</f>
        <v>#N/A</v>
      </c>
      <c r="AK26" s="39" t="e">
        <f>VLOOKUP(Tabulka5912153293541475359657177838995101[[#This Row],[Tým]],Tabulka5912153293541475359657177838995[[Tým]:[Body]],2,FALSE)</f>
        <v>#N/A</v>
      </c>
      <c r="AL26" s="47" t="e">
        <f>Tabulka5912153293541475359657177838995101[[#This Row],[Umístění]]</f>
        <v>#N/A</v>
      </c>
      <c r="AM26" s="15"/>
      <c r="AP26" s="1"/>
    </row>
    <row r="27" spans="2:42" ht="24.95" customHeight="1" x14ac:dyDescent="0.4">
      <c r="D27" s="16"/>
      <c r="P27" s="7"/>
      <c r="Q27" s="8"/>
      <c r="R27" s="8"/>
      <c r="Z27" s="31" t="e">
        <f>IF(OR(Tabulka3811142283440465258647076828894100[Výsledný čas]="N",Tabulka3811142283440465258647076828894100[Výsledný čas]="D",Tabulka3811142283440465258647076828894100[Výsledný čas]="NEÚČAST"),Uvod!$E$6,_xlfn.RANK.EQ(Tabulka3811142283440465258647076828894100[[#This Row],[ ]],Tabulka3811142283440465258647076828894100[[ ]],1))</f>
        <v>#N/A</v>
      </c>
      <c r="AA27" s="27"/>
      <c r="AB27" s="44" t="e">
        <f>VLOOKUP(Tabulka3811142283440465258647076828894100[[#This Row],[Tým]],Tabulka1710136303642485460667278849096102[[Tým]:[ ]],2,FALSE)</f>
        <v>#N/A</v>
      </c>
      <c r="AC27" s="44" t="e">
        <f>VLOOKUP(Tabulka3811142283440465258647076828894100[[#This Row],[Tým]],Tabulka1710136303642485460667278849096102[[Tým]:[ ]],3,FALSE)</f>
        <v>#N/A</v>
      </c>
      <c r="AD27" s="25" t="e">
        <f>VLOOKUP(Tabulka3811142283440465258647076828894100[[#This Row],[Tým]],Tabulka1710136303642485460667278849096102[[Tým]:[ ]],4,FALSE)</f>
        <v>#N/A</v>
      </c>
      <c r="AE27" s="25" t="e">
        <f>VLOOKUP(Tabulka3811142283440465258647076828894100[[#This Row],[Tým]],Tabulka1710136303642485460667278849096102[[Tým]:[ ]],7,FALSE)</f>
        <v>#N/A</v>
      </c>
      <c r="AF27" s="29" t="e">
        <f>IF(Tabulka3811142283440465258647076828894100[[#This Row],[Výsledný čas]]="N",5,IF(Tabulka3811142283440465258647076828894100[[#This Row],[Výsledný čas]]="D",0,IF(Tabulka3811142283440465258647076828894100[[#This Row],[Výsledný čas]]="NEÚČAST",0,Tabulka8[[#Totals],[Týmy ženy]]+6-Tabulka3811142283440465258647076828894100[[#This Row],[Umístění]])))</f>
        <v>#N/A</v>
      </c>
      <c r="AH27" s="31" t="e">
        <f>_xlfn.RANK.EQ(Tabulka5912153293541475359657177838995101[[#This Row],[Body]],Tabulka5912153293541475359657177838995101[Body],0)</f>
        <v>#N/A</v>
      </c>
      <c r="AI27" s="38"/>
      <c r="AJ27" s="25" t="e">
        <f>VLOOKUP(Tabulka5912153293541475359657177838995101[[#This Row],[Tým]],Tabulka3811142283440465258647076828894100[[Tým]:[Body]],6,FALSE)+Tabulka5912153293541475359657177838995101[[#This Row],[ ]]</f>
        <v>#N/A</v>
      </c>
      <c r="AK27" s="39" t="e">
        <f>VLOOKUP(Tabulka5912153293541475359657177838995101[[#This Row],[Tým]],Tabulka5912153293541475359657177838995[[Tým]:[Body]],2,FALSE)</f>
        <v>#N/A</v>
      </c>
      <c r="AL27" s="47" t="e">
        <f>Tabulka5912153293541475359657177838995101[[#This Row],[Umístění]]</f>
        <v>#N/A</v>
      </c>
      <c r="AM27" s="15"/>
      <c r="AP27" s="1"/>
    </row>
    <row r="28" spans="2:42" ht="24.95" customHeight="1" thickBot="1" x14ac:dyDescent="0.45">
      <c r="D28" s="16"/>
      <c r="P28" s="7"/>
      <c r="Q28" s="8"/>
      <c r="R28" s="8"/>
      <c r="Z28" s="33" t="e">
        <f>IF(OR(Tabulka3811142283440465258647076828894100[Výsledný čas]="N",Tabulka3811142283440465258647076828894100[Výsledný čas]="D",Tabulka3811142283440465258647076828894100[Výsledný čas]="NEÚČAST"),Uvod!$E$6,_xlfn.RANK.EQ(Tabulka3811142283440465258647076828894100[[#This Row],[ ]],Tabulka3811142283440465258647076828894100[[ ]],1))</f>
        <v>#N/A</v>
      </c>
      <c r="AA28" s="35"/>
      <c r="AB28" s="45" t="e">
        <f>VLOOKUP(Tabulka3811142283440465258647076828894100[[#This Row],[Tým]],Tabulka1710136303642485460667278849096102[[Tým]:[ ]],2,FALSE)</f>
        <v>#N/A</v>
      </c>
      <c r="AC28" s="45" t="e">
        <f>VLOOKUP(Tabulka3811142283440465258647076828894100[[#This Row],[Tým]],Tabulka1710136303642485460667278849096102[[Tým]:[ ]],3,FALSE)</f>
        <v>#N/A</v>
      </c>
      <c r="AD28" s="34" t="e">
        <f>VLOOKUP(Tabulka3811142283440465258647076828894100[[#This Row],[Tým]],Tabulka1710136303642485460667278849096102[[Tým]:[ ]],4,FALSE)</f>
        <v>#N/A</v>
      </c>
      <c r="AE28" s="34" t="e">
        <f>VLOOKUP(Tabulka3811142283440465258647076828894100[[#This Row],[Tým]],Tabulka1710136303642485460667278849096102[[Tým]:[ ]],7,FALSE)</f>
        <v>#N/A</v>
      </c>
      <c r="AF28" s="36" t="e">
        <f>IF(Tabulka3811142283440465258647076828894100[[#This Row],[Výsledný čas]]="N",5,IF(Tabulka3811142283440465258647076828894100[[#This Row],[Výsledný čas]]="D",0,IF(Tabulka3811142283440465258647076828894100[[#This Row],[Výsledný čas]]="NEÚČAST",0,Tabulka8[[#Totals],[Týmy ženy]]+6-Tabulka3811142283440465258647076828894100[[#This Row],[Umístění]])))</f>
        <v>#N/A</v>
      </c>
      <c r="AH28" s="33" t="e">
        <f>_xlfn.RANK.EQ(Tabulka5912153293541475359657177838995101[[#This Row],[Body]],Tabulka5912153293541475359657177838995101[Body],0)</f>
        <v>#N/A</v>
      </c>
      <c r="AI28" s="40"/>
      <c r="AJ28" s="34" t="e">
        <f>VLOOKUP(Tabulka5912153293541475359657177838995101[[#This Row],[Tým]],Tabulka3811142283440465258647076828894100[[Tým]:[Body]],6,FALSE)+Tabulka5912153293541475359657177838995101[[#This Row],[ ]]</f>
        <v>#N/A</v>
      </c>
      <c r="AK28" s="41" t="e">
        <f>VLOOKUP(Tabulka5912153293541475359657177838995101[[#This Row],[Tým]],Tabulka5912153293541475359657177838995[[Tým]:[Body]],2,FALSE)</f>
        <v>#N/A</v>
      </c>
      <c r="AL28" s="93" t="e">
        <f>Tabulka5912153293541475359657177838995101[[#This Row],[Umístění]]</f>
        <v>#N/A</v>
      </c>
      <c r="AM28" s="15"/>
      <c r="AP28" s="1"/>
    </row>
    <row r="29" spans="2:42" ht="24.95" customHeight="1" x14ac:dyDescent="0.4">
      <c r="D29" s="16"/>
      <c r="N29" s="68"/>
      <c r="P29" s="7"/>
      <c r="Q29" s="8"/>
      <c r="R29" s="8"/>
      <c r="AB29" s="3"/>
      <c r="AC29" s="3"/>
      <c r="AK29" s="4"/>
    </row>
    <row r="30" spans="2:42" ht="24.95" customHeight="1" x14ac:dyDescent="0.4">
      <c r="D30" s="16"/>
      <c r="N30" s="68"/>
      <c r="P30" s="7"/>
      <c r="Q30" s="8"/>
      <c r="R30" s="8"/>
      <c r="AB30" s="3"/>
      <c r="AC30" s="3"/>
      <c r="AK30" s="4"/>
    </row>
    <row r="31" spans="2:42" ht="24.95" customHeight="1" x14ac:dyDescent="0.4">
      <c r="D31" s="16"/>
      <c r="P31" s="7"/>
      <c r="Q31" s="8"/>
      <c r="R31" s="8"/>
      <c r="AB31" s="3"/>
      <c r="AC31" s="3"/>
      <c r="AK31" s="4"/>
    </row>
    <row r="32" spans="2:42" ht="24.95" customHeight="1" x14ac:dyDescent="0.4">
      <c r="D32" s="16"/>
      <c r="P32" s="7"/>
      <c r="Q32" s="8"/>
      <c r="R32" s="8"/>
      <c r="AB32" s="3"/>
      <c r="AC32" s="3"/>
      <c r="AK32" s="4"/>
    </row>
    <row r="33" spans="4:37" ht="24.95" customHeight="1" x14ac:dyDescent="0.4">
      <c r="D33" s="16"/>
      <c r="P33" s="7"/>
      <c r="Q33" s="8"/>
      <c r="R33" s="8"/>
      <c r="AB33" s="3"/>
      <c r="AC33" s="3"/>
      <c r="AK33" s="4"/>
    </row>
    <row r="34" spans="4:37" ht="24.95" customHeight="1" x14ac:dyDescent="0.4">
      <c r="D34" s="16"/>
      <c r="N34" s="70"/>
      <c r="P34" s="7"/>
      <c r="Q34" s="8"/>
      <c r="R34" s="8"/>
      <c r="AB34" s="3"/>
      <c r="AC34" s="3"/>
      <c r="AK34" s="4"/>
    </row>
    <row r="35" spans="4:37" ht="24.95" customHeight="1" x14ac:dyDescent="0.4">
      <c r="D35" s="16"/>
      <c r="N35" s="70"/>
      <c r="P35" s="7"/>
      <c r="Q35" s="8"/>
      <c r="R35" s="8"/>
      <c r="AB35" s="3"/>
      <c r="AC35" s="3"/>
      <c r="AK35" s="4"/>
    </row>
    <row r="36" spans="4:37" ht="24.95" customHeight="1" x14ac:dyDescent="0.4">
      <c r="D36" s="16"/>
      <c r="P36" s="7"/>
      <c r="Q36" s="8"/>
      <c r="R36" s="8"/>
      <c r="AB36" s="3"/>
      <c r="AC36" s="3"/>
      <c r="AK36" s="4"/>
    </row>
    <row r="37" spans="4:37" ht="24.95" customHeight="1" x14ac:dyDescent="0.4">
      <c r="D37" s="16"/>
      <c r="P37" s="7"/>
      <c r="Q37" s="8"/>
      <c r="R37" s="8"/>
      <c r="AB37" s="3"/>
      <c r="AC37" s="3"/>
      <c r="AK37" s="4"/>
    </row>
    <row r="38" spans="4:37" ht="24.95" customHeight="1" x14ac:dyDescent="0.4">
      <c r="D38" s="16"/>
      <c r="P38" s="7"/>
      <c r="Q38" s="8"/>
      <c r="R38" s="8"/>
      <c r="AB38" s="3"/>
      <c r="AC38" s="3"/>
      <c r="AK38" s="4"/>
    </row>
    <row r="39" spans="4:37" ht="24.95" customHeight="1" x14ac:dyDescent="0.4">
      <c r="D39" s="16"/>
      <c r="N39" s="68"/>
      <c r="P39" s="7"/>
      <c r="Q39" s="8"/>
      <c r="R39" s="8"/>
      <c r="AB39" s="3"/>
      <c r="AC39" s="3"/>
      <c r="AK39" s="4"/>
    </row>
    <row r="40" spans="4:37" ht="24.95" customHeight="1" x14ac:dyDescent="0.4">
      <c r="D40" s="16"/>
      <c r="N40" s="68"/>
      <c r="P40" s="7"/>
      <c r="Q40" s="8"/>
      <c r="R40" s="8"/>
      <c r="AB40" s="3"/>
      <c r="AC40" s="3"/>
      <c r="AK40" s="4"/>
    </row>
    <row r="41" spans="4:37" ht="24.95" customHeight="1" x14ac:dyDescent="0.4">
      <c r="D41" s="16"/>
      <c r="P41" s="7"/>
      <c r="Q41" s="8"/>
      <c r="R41" s="8"/>
      <c r="AB41" s="3"/>
      <c r="AC41" s="3"/>
      <c r="AK41" s="4"/>
    </row>
    <row r="42" spans="4:37" ht="24.95" customHeight="1" x14ac:dyDescent="0.4">
      <c r="D42" s="16"/>
      <c r="P42" s="7"/>
      <c r="Q42" s="8"/>
      <c r="R42" s="8"/>
    </row>
    <row r="43" spans="4:37" ht="24.95" customHeight="1" x14ac:dyDescent="0.4">
      <c r="D43" s="16"/>
      <c r="P43" s="7"/>
      <c r="Q43" s="8"/>
      <c r="R43" s="8"/>
    </row>
    <row r="44" spans="4:37" ht="24.95" customHeight="1" x14ac:dyDescent="0.4">
      <c r="D44" s="16"/>
      <c r="N44" s="68"/>
      <c r="P44" s="7"/>
      <c r="Q44" s="8"/>
      <c r="R44" s="8"/>
    </row>
    <row r="45" spans="4:37" ht="24.95" customHeight="1" x14ac:dyDescent="0.4">
      <c r="D45" s="16"/>
      <c r="N45" s="68"/>
      <c r="P45" s="7"/>
      <c r="Q45" s="8"/>
      <c r="R45" s="8"/>
    </row>
    <row r="46" spans="4:37" ht="24.95" customHeight="1" x14ac:dyDescent="0.4">
      <c r="D46" s="16"/>
      <c r="P46" s="7"/>
      <c r="Q46" s="8"/>
      <c r="R46" s="8"/>
    </row>
    <row r="47" spans="4:37" ht="24.95" customHeight="1" x14ac:dyDescent="0.4">
      <c r="D47" s="16"/>
      <c r="P47" s="7"/>
      <c r="Q47" s="8"/>
      <c r="R47" s="8"/>
    </row>
    <row r="48" spans="4:37" ht="24.95" customHeight="1" x14ac:dyDescent="0.4">
      <c r="D48" s="16"/>
      <c r="P48" s="7"/>
      <c r="Q48" s="8"/>
      <c r="R48" s="8"/>
    </row>
    <row r="49" spans="4:22" ht="24.95" customHeight="1" x14ac:dyDescent="0.4">
      <c r="D49" s="16"/>
      <c r="P49" s="16"/>
    </row>
    <row r="50" spans="4:22" ht="24.95" customHeight="1" x14ac:dyDescent="0.4">
      <c r="D50" s="16"/>
      <c r="P50" s="16"/>
    </row>
    <row r="51" spans="4:22" ht="24.95" customHeight="1" x14ac:dyDescent="0.4">
      <c r="D51" s="16"/>
      <c r="P51" s="16"/>
    </row>
    <row r="52" spans="4:22" ht="24.95" customHeight="1" x14ac:dyDescent="0.4">
      <c r="D52" s="16"/>
      <c r="P52" s="16"/>
    </row>
    <row r="53" spans="4:22" ht="24.95" customHeight="1" thickBot="1" x14ac:dyDescent="0.45">
      <c r="D53" s="16"/>
      <c r="P53" s="16"/>
      <c r="V53" s="20"/>
    </row>
  </sheetData>
  <mergeCells count="6">
    <mergeCell ref="B2:J2"/>
    <mergeCell ref="N2:V2"/>
    <mergeCell ref="Z2:AF2"/>
    <mergeCell ref="Z23:AF23"/>
    <mergeCell ref="AH2:AL2"/>
    <mergeCell ref="AH23:AL23"/>
  </mergeCells>
  <phoneticPr fontId="12" type="noConversion"/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25CB9-9159-4F67-A536-83CFAA73935A}">
  <dimension ref="B1:S89"/>
  <sheetViews>
    <sheetView showGridLines="0" zoomScale="40" zoomScaleNormal="40" workbookViewId="0">
      <selection activeCell="I33" sqref="I33"/>
    </sheetView>
  </sheetViews>
  <sheetFormatPr defaultRowHeight="15" x14ac:dyDescent="0.25"/>
  <cols>
    <col min="2" max="2" width="24.28515625" bestFit="1" customWidth="1"/>
    <col min="3" max="3" width="9" customWidth="1"/>
    <col min="4" max="4" width="11.140625" customWidth="1"/>
    <col min="5" max="5" width="10.42578125" customWidth="1"/>
    <col min="6" max="6" width="19.28515625" customWidth="1"/>
    <col min="7" max="7" width="7.85546875" customWidth="1"/>
    <col min="8" max="8" width="11.140625" customWidth="1"/>
    <col min="9" max="9" width="16" customWidth="1"/>
    <col min="10" max="10" width="11.140625" customWidth="1"/>
    <col min="11" max="11" width="18" customWidth="1"/>
    <col min="12" max="12" width="14.140625" customWidth="1"/>
    <col min="13" max="14" width="12.140625" customWidth="1"/>
    <col min="15" max="15" width="12.140625" hidden="1" customWidth="1"/>
    <col min="16" max="16" width="11.7109375" hidden="1" customWidth="1"/>
    <col min="17" max="17" width="12.140625" hidden="1" customWidth="1"/>
    <col min="18" max="18" width="19.28515625" bestFit="1" customWidth="1"/>
    <col min="19" max="19" width="18.7109375" bestFit="1" customWidth="1"/>
  </cols>
  <sheetData>
    <row r="1" spans="2:18" ht="15.75" thickBot="1" x14ac:dyDescent="0.3"/>
    <row r="2" spans="2:18" ht="21.75" thickBot="1" x14ac:dyDescent="0.4">
      <c r="B2" s="293" t="s">
        <v>111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5"/>
      <c r="R2" s="246"/>
    </row>
    <row r="3" spans="2:18" ht="21.75" thickBot="1" x14ac:dyDescent="0.4">
      <c r="B3" s="214"/>
      <c r="C3" s="221" t="str">
        <f>IF(Uvod!$C$3="","",Uvod!$C$3)</f>
        <v>Píšť</v>
      </c>
      <c r="D3" s="222" t="str">
        <f>IF(Uvod!$C$4="","",Uvod!$C$4)</f>
        <v>Svoboda</v>
      </c>
      <c r="E3" s="222" t="str">
        <f>IF(Uvod!$C$5="","",Uvod!$C$5)</f>
        <v>Rohov</v>
      </c>
      <c r="F3" s="222" t="str">
        <f>IF(Uvod!$C$6="","",Uvod!$C$6)</f>
        <v>Markvartovice</v>
      </c>
      <c r="G3" s="222" t="str">
        <f>IF(Uvod!$C$7="","",Uvod!$C$7)</f>
        <v>Bělá</v>
      </c>
      <c r="H3" s="222" t="str">
        <f>IF(Uvod!$C$8="","",Uvod!$C$8)</f>
        <v>Závada</v>
      </c>
      <c r="I3" s="222" t="str">
        <f>IF(Uvod!$C$9="","",Uvod!$C$9)</f>
        <v>Bohuslavice</v>
      </c>
      <c r="J3" s="222" t="str">
        <f>IF(Uvod!$C$10="","",Uvod!$C$10)</f>
        <v>Kozmice</v>
      </c>
      <c r="K3" s="222" t="str">
        <f>IF(Uvod!$C$11="","",Uvod!$C$11)</f>
        <v>Štěpánkovice</v>
      </c>
      <c r="L3" s="222" t="str">
        <f>IF(Uvod!$C$12="","",Uvod!$C$12)</f>
        <v>Strahovice</v>
      </c>
      <c r="M3" s="222" t="str">
        <f>IF(Uvod!$C$13="","",Uvod!$C$13)</f>
        <v>Služovice</v>
      </c>
      <c r="N3" s="222" t="str">
        <f>IF(Uvod!$C$14="","",Uvod!$C$14)</f>
        <v>Vřesina</v>
      </c>
      <c r="O3" s="222" t="str">
        <f>IF(Uvod!$C$15="","",Uvod!$C$15)</f>
        <v/>
      </c>
      <c r="P3" s="222" t="str">
        <f>IF(Uvod!$C$16="","",Uvod!$C$16)</f>
        <v/>
      </c>
      <c r="Q3" s="223" t="str">
        <f>IF(Uvod!$C$17="","",Uvod!$C$17)</f>
        <v/>
      </c>
      <c r="R3" s="246"/>
    </row>
    <row r="4" spans="2:18" ht="21" hidden="1" x14ac:dyDescent="0.35">
      <c r="B4" s="215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4"/>
      <c r="R4" s="246"/>
    </row>
    <row r="5" spans="2:18" ht="21.75" hidden="1" thickBot="1" x14ac:dyDescent="0.4">
      <c r="B5" s="216" t="s">
        <v>73</v>
      </c>
      <c r="C5" s="198" t="s">
        <v>74</v>
      </c>
      <c r="D5" s="198" t="s">
        <v>75</v>
      </c>
      <c r="E5" s="198" t="s">
        <v>76</v>
      </c>
      <c r="F5" s="198" t="s">
        <v>77</v>
      </c>
      <c r="G5" s="198" t="s">
        <v>78</v>
      </c>
      <c r="H5" s="198" t="s">
        <v>79</v>
      </c>
      <c r="I5" s="198" t="s">
        <v>80</v>
      </c>
      <c r="J5" s="198" t="s">
        <v>81</v>
      </c>
      <c r="K5" s="198" t="s">
        <v>82</v>
      </c>
      <c r="L5" s="198" t="s">
        <v>83</v>
      </c>
      <c r="M5" s="198" t="s">
        <v>84</v>
      </c>
      <c r="N5" s="198" t="s">
        <v>85</v>
      </c>
      <c r="O5" s="198" t="s">
        <v>86</v>
      </c>
      <c r="P5" s="198" t="s">
        <v>87</v>
      </c>
      <c r="Q5" s="199" t="s">
        <v>88</v>
      </c>
      <c r="R5" s="246"/>
    </row>
    <row r="6" spans="2:18" ht="21" x14ac:dyDescent="0.35">
      <c r="B6" s="217" t="s">
        <v>19</v>
      </c>
      <c r="C6" s="200">
        <f>VLOOKUP(Tabulka9[[#This Row],[Sloupec1]],Tabulka38111420[[Tým]:[Body]],2,FALSE)</f>
        <v>16.276</v>
      </c>
      <c r="D6" s="194">
        <f>VLOOKUP(Tabulka9[[#This Row],[Sloupec1]],Tabulka591215[[Tým]:[Sloupec1]],4,FALSE)</f>
        <v>1</v>
      </c>
      <c r="E6" s="194">
        <f>VLOOKUP(Tabulka9[[#This Row],[Sloupec1]],Tabulka59121527[[Tým]:[Sloupec1]],4,FALSE)</f>
        <v>1</v>
      </c>
      <c r="F6" s="194">
        <f>VLOOKUP(Tabulka9[[#This Row],[Sloupec1]],Tabulka5912152733[[Tým]:[Sloupec1]],4,FALSE)</f>
        <v>1</v>
      </c>
      <c r="G6" s="194">
        <f>VLOOKUP(Tabulka9[[#This Row],[Sloupec1]],Tabulka591215273339[[Tým]:[Sloupec1]],4,FALSE)</f>
        <v>1</v>
      </c>
      <c r="H6" s="255">
        <f>VLOOKUP(Tabulka9[[#This Row],[Sloupec1]],Tabulka59121527333945[[Tým]:[Sloupec1]],4,FALSE)</f>
        <v>1</v>
      </c>
      <c r="I6" s="255">
        <f>VLOOKUP(Tabulka9[[#This Row],[Sloupec1]],Tabulka5912152733394551[[Tým]:[Sloupec1]],4,FALSE)</f>
        <v>1</v>
      </c>
      <c r="J6" s="247" t="e">
        <f>VLOOKUP(Tabulka9[[#This Row],[Sloupec1]],Tabulka591215273339455157[[Tým]:[Sloupec1]],4,FALSE)</f>
        <v>#N/A</v>
      </c>
      <c r="K6" s="247" t="e">
        <f>VLOOKUP(Tabulka9[[#This Row],[Sloupec1]],Tabulka59121527333945515763[[Tým]:[Sloupec1]],4,FALSE)</f>
        <v>#N/A</v>
      </c>
      <c r="L6" s="247" t="e">
        <f>VLOOKUP(Tabulka9[[#This Row],[Sloupec1]],Tabulka5912152733394551576369[[Tým]:[Sloupec1]],4,FALSE)</f>
        <v>#N/A</v>
      </c>
      <c r="M6" s="247" t="e">
        <f>VLOOKUP(Tabulka9[[#This Row],[Sloupec1]],Tabulka591215273339455157636975[[Tým]:[Sloupec1]],4,FALSE)</f>
        <v>#N/A</v>
      </c>
      <c r="N6" s="247" t="e">
        <f>VLOOKUP(Tabulka9[[#This Row],[Sloupec1]],Tabulka59121527333945515763697581[[Tým]:[Sloupec1]],4,FALSE)</f>
        <v>#N/A</v>
      </c>
      <c r="O6" s="247" t="e">
        <f>VLOOKUP(Tabulka9[[#This Row],[Sloupec1]],Tabulka5912152733394551576369758187[[Tým]:[Sloupec1]],4,FALSE)</f>
        <v>#N/A</v>
      </c>
      <c r="P6" s="247" t="e">
        <f>VLOOKUP(Tabulka9[[#This Row],[Sloupec1]],Tabulka591215273339455157636975818793[[Tým]:[Sloupec1]],4,FALSE)</f>
        <v>#N/A</v>
      </c>
      <c r="Q6" s="251" t="e">
        <f>VLOOKUP(Tabulka9[[#This Row],[Sloupec1]],Tabulka59121527333945515763697581879399[[Tým]:[ ]],4,FALSE)</f>
        <v>#N/A</v>
      </c>
      <c r="R6" s="246"/>
    </row>
    <row r="7" spans="2:18" ht="21" x14ac:dyDescent="0.35">
      <c r="B7" s="218" t="s">
        <v>30</v>
      </c>
      <c r="C7" s="201">
        <f>VLOOKUP(Tabulka9[[#This Row],[Sloupec1]],Tabulka59121521[[Tým]:[Sloupec1]],2,FALSE)</f>
        <v>2</v>
      </c>
      <c r="D7" s="195">
        <f>VLOOKUP(Tabulka9[[#This Row],[Sloupec1]],Tabulka591215[[Tým]:[Sloupec1]],4,FALSE)</f>
        <v>10</v>
      </c>
      <c r="E7" s="195">
        <f>VLOOKUP(Tabulka9[[#This Row],[Sloupec1]],Tabulka59121527[[Tým]:[Sloupec1]],4,FALSE)</f>
        <v>6</v>
      </c>
      <c r="F7" s="195">
        <f>VLOOKUP(Tabulka9[[#This Row],[Sloupec1]],Tabulka5912152733[[Tým]:[Sloupec1]],4,FALSE)</f>
        <v>6</v>
      </c>
      <c r="G7" s="195">
        <f>VLOOKUP(Tabulka9[[#This Row],[Sloupec1]],Tabulka591215273339[[Tým]:[Sloupec1]],4,FALSE)</f>
        <v>4</v>
      </c>
      <c r="H7" s="256">
        <f>VLOOKUP(Tabulka9[[#This Row],[Sloupec1]],Tabulka59121527333945[[Tým]:[Sloupec1]],4,FALSE)</f>
        <v>3</v>
      </c>
      <c r="I7" s="256">
        <f>VLOOKUP(Tabulka9[[#This Row],[Sloupec1]],Tabulka5912152733394551[[Tým]:[Sloupec1]],4,FALSE)</f>
        <v>2</v>
      </c>
      <c r="J7" s="248" t="e">
        <f>VLOOKUP(Tabulka9[[#This Row],[Sloupec1]],Tabulka591215273339455157[[Tým]:[Sloupec1]],4,FALSE)</f>
        <v>#N/A</v>
      </c>
      <c r="K7" s="248" t="e">
        <f>VLOOKUP(Tabulka9[[#This Row],[Sloupec1]],Tabulka59121527333945515763[[Tým]:[Sloupec1]],4,FALSE)</f>
        <v>#N/A</v>
      </c>
      <c r="L7" s="248" t="e">
        <f>VLOOKUP(Tabulka9[[#This Row],[Sloupec1]],Tabulka5912152733394551576369[[Tým]:[Sloupec1]],4,FALSE)</f>
        <v>#N/A</v>
      </c>
      <c r="M7" s="248" t="e">
        <f>VLOOKUP(Tabulka9[[#This Row],[Sloupec1]],Tabulka591215273339455157636975[[Tým]:[Sloupec1]],4,FALSE)</f>
        <v>#N/A</v>
      </c>
      <c r="N7" s="248" t="e">
        <f>VLOOKUP(Tabulka9[[#This Row],[Sloupec1]],Tabulka59121527333945515763697581[[Tým]:[Sloupec1]],4,FALSE)</f>
        <v>#N/A</v>
      </c>
      <c r="O7" s="248" t="e">
        <f>VLOOKUP(Tabulka9[[#This Row],[Sloupec1]],Tabulka5912152733394551576369758187[[Tým]:[Sloupec1]],4,FALSE)</f>
        <v>#N/A</v>
      </c>
      <c r="P7" s="248" t="e">
        <f>VLOOKUP(Tabulka9[[#This Row],[Sloupec1]],Tabulka591215273339455157636975818793[[Tým]:[Sloupec1]],4,FALSE)</f>
        <v>#N/A</v>
      </c>
      <c r="Q7" s="250" t="e">
        <f>VLOOKUP(Tabulka9[[#This Row],[Sloupec1]],Tabulka59121527333945515763697581879399[[Tým]:[ ]],4,FALSE)</f>
        <v>#N/A</v>
      </c>
      <c r="R7" s="246"/>
    </row>
    <row r="8" spans="2:18" ht="21" x14ac:dyDescent="0.35">
      <c r="B8" s="218" t="s">
        <v>22</v>
      </c>
      <c r="C8" s="201">
        <f>VLOOKUP(Tabulka9[[#This Row],[Sloupec1]],Tabulka59121521[[Tým]:[Sloupec1]],2,FALSE)</f>
        <v>3</v>
      </c>
      <c r="D8" s="195">
        <f>VLOOKUP(Tabulka9[[#This Row],[Sloupec1]],Tabulka591215[[Tým]:[Sloupec1]],4,FALSE)</f>
        <v>3</v>
      </c>
      <c r="E8" s="195">
        <f>VLOOKUP(Tabulka9[[#This Row],[Sloupec1]],Tabulka59121527[[Tým]:[Sloupec1]],4,FALSE)</f>
        <v>2</v>
      </c>
      <c r="F8" s="195">
        <f>VLOOKUP(Tabulka9[[#This Row],[Sloupec1]],Tabulka5912152733[[Tým]:[Sloupec1]],4,FALSE)</f>
        <v>2</v>
      </c>
      <c r="G8" s="195">
        <f>VLOOKUP(Tabulka9[[#This Row],[Sloupec1]],Tabulka591215273339[[Tým]:[Sloupec1]],4,FALSE)</f>
        <v>5</v>
      </c>
      <c r="H8" s="256">
        <f>VLOOKUP(Tabulka9[[#This Row],[Sloupec1]],Tabulka59121527333945[[Tým]:[Sloupec1]],4,FALSE)</f>
        <v>5</v>
      </c>
      <c r="I8" s="256">
        <f>VLOOKUP(Tabulka9[[#This Row],[Sloupec1]],Tabulka5912152733394551[[Tým]:[Sloupec1]],4,FALSE)</f>
        <v>5</v>
      </c>
      <c r="J8" s="248" t="e">
        <f>VLOOKUP(Tabulka9[[#This Row],[Sloupec1]],Tabulka591215273339455157[[Tým]:[Sloupec1]],4,FALSE)</f>
        <v>#N/A</v>
      </c>
      <c r="K8" s="248" t="e">
        <f>VLOOKUP(Tabulka9[[#This Row],[Sloupec1]],Tabulka59121527333945515763[[Tým]:[Sloupec1]],4,FALSE)</f>
        <v>#N/A</v>
      </c>
      <c r="L8" s="248" t="e">
        <f>VLOOKUP(Tabulka9[[#This Row],[Sloupec1]],Tabulka5912152733394551576369[[Tým]:[Sloupec1]],4,FALSE)</f>
        <v>#N/A</v>
      </c>
      <c r="M8" s="248" t="e">
        <f>VLOOKUP(Tabulka9[[#This Row],[Sloupec1]],Tabulka591215273339455157636975[[Tým]:[Sloupec1]],4,FALSE)</f>
        <v>#N/A</v>
      </c>
      <c r="N8" s="248" t="e">
        <f>VLOOKUP(Tabulka9[[#This Row],[Sloupec1]],Tabulka59121527333945515763697581[[Tým]:[Sloupec1]],4,FALSE)</f>
        <v>#N/A</v>
      </c>
      <c r="O8" s="248" t="e">
        <f>VLOOKUP(Tabulka9[[#This Row],[Sloupec1]],Tabulka5912152733394551576369758187[[Tým]:[Sloupec1]],4,FALSE)</f>
        <v>#N/A</v>
      </c>
      <c r="P8" s="248" t="e">
        <f>VLOOKUP(Tabulka9[[#This Row],[Sloupec1]],Tabulka591215273339455157636975818793[[Tým]:[Sloupec1]],4,FALSE)</f>
        <v>#N/A</v>
      </c>
      <c r="Q8" s="250" t="e">
        <f>VLOOKUP(Tabulka9[[#This Row],[Sloupec1]],Tabulka59121527333945515763697581879399[[Tým]:[ ]],4,FALSE)</f>
        <v>#N/A</v>
      </c>
      <c r="R8" s="246"/>
    </row>
    <row r="9" spans="2:18" ht="21" x14ac:dyDescent="0.35">
      <c r="B9" s="218" t="s">
        <v>20</v>
      </c>
      <c r="C9" s="201">
        <f>VLOOKUP(Tabulka9[[#This Row],[Sloupec1]],Tabulka59121521[[Tým]:[Sloupec1]],2,FALSE)</f>
        <v>4</v>
      </c>
      <c r="D9" s="195">
        <f>VLOOKUP(Tabulka9[[#This Row],[Sloupec1]],Tabulka591215[[Tým]:[Sloupec1]],4,FALSE)</f>
        <v>2</v>
      </c>
      <c r="E9" s="195">
        <f>VLOOKUP(Tabulka9[[#This Row],[Sloupec1]],Tabulka59121527[[Tým]:[Sloupec1]],4,FALSE)</f>
        <v>5</v>
      </c>
      <c r="F9" s="195">
        <f>VLOOKUP(Tabulka9[[#This Row],[Sloupec1]],Tabulka5912152733[[Tým]:[Sloupec1]],4,FALSE)</f>
        <v>5</v>
      </c>
      <c r="G9" s="195">
        <f>VLOOKUP(Tabulka9[[#This Row],[Sloupec1]],Tabulka591215273339[[Tým]:[Sloupec1]],4,FALSE)</f>
        <v>6</v>
      </c>
      <c r="H9" s="256">
        <f>VLOOKUP(Tabulka9[[#This Row],[Sloupec1]],Tabulka59121527333945[[Tým]:[Sloupec1]],4,FALSE)</f>
        <v>6</v>
      </c>
      <c r="I9" s="256">
        <f>VLOOKUP(Tabulka9[[#This Row],[Sloupec1]],Tabulka5912152733394551[[Tým]:[Sloupec1]],4,FALSE)</f>
        <v>6</v>
      </c>
      <c r="J9" s="248" t="e">
        <f>VLOOKUP(Tabulka9[[#This Row],[Sloupec1]],Tabulka591215273339455157[[Tým]:[Sloupec1]],4,FALSE)</f>
        <v>#N/A</v>
      </c>
      <c r="K9" s="248" t="e">
        <f>VLOOKUP(Tabulka9[[#This Row],[Sloupec1]],Tabulka59121527333945515763[[Tým]:[Sloupec1]],4,FALSE)</f>
        <v>#N/A</v>
      </c>
      <c r="L9" s="248" t="e">
        <f>VLOOKUP(Tabulka9[[#This Row],[Sloupec1]],Tabulka5912152733394551576369[[Tým]:[Sloupec1]],4,FALSE)</f>
        <v>#N/A</v>
      </c>
      <c r="M9" s="248" t="e">
        <f>VLOOKUP(Tabulka9[[#This Row],[Sloupec1]],Tabulka591215273339455157636975[[Tým]:[Sloupec1]],4,FALSE)</f>
        <v>#N/A</v>
      </c>
      <c r="N9" s="248" t="e">
        <f>VLOOKUP(Tabulka9[[#This Row],[Sloupec1]],Tabulka59121527333945515763697581[[Tým]:[Sloupec1]],4,FALSE)</f>
        <v>#N/A</v>
      </c>
      <c r="O9" s="248" t="e">
        <f>VLOOKUP(Tabulka9[[#This Row],[Sloupec1]],Tabulka5912152733394551576369758187[[Tým]:[Sloupec1]],4,FALSE)</f>
        <v>#N/A</v>
      </c>
      <c r="P9" s="248" t="e">
        <f>VLOOKUP(Tabulka9[[#This Row],[Sloupec1]],Tabulka591215273339455157636975818793[[Tým]:[Sloupec1]],4,FALSE)</f>
        <v>#N/A</v>
      </c>
      <c r="Q9" s="250" t="e">
        <f>VLOOKUP(Tabulka9[[#This Row],[Sloupec1]],Tabulka59121527333945515763697581879399[[Tým]:[ ]],4,FALSE)</f>
        <v>#N/A</v>
      </c>
      <c r="R9" s="246"/>
    </row>
    <row r="10" spans="2:18" ht="21" x14ac:dyDescent="0.35">
      <c r="B10" s="218" t="s">
        <v>11</v>
      </c>
      <c r="C10" s="201">
        <f>VLOOKUP(Tabulka9[[#This Row],[Sloupec1]],Tabulka59121521[[Tým]:[Sloupec1]],2,FALSE)</f>
        <v>5</v>
      </c>
      <c r="D10" s="195">
        <f>VLOOKUP(Tabulka9[[#This Row],[Sloupec1]],Tabulka591215[[Tým]:[Sloupec1]],4,FALSE)</f>
        <v>8</v>
      </c>
      <c r="E10" s="195">
        <f>VLOOKUP(Tabulka9[[#This Row],[Sloupec1]],Tabulka59121527[[Tým]:[Sloupec1]],4,FALSE)</f>
        <v>9</v>
      </c>
      <c r="F10" s="195">
        <f>VLOOKUP(Tabulka9[[#This Row],[Sloupec1]],Tabulka5912152733[[Tým]:[Sloupec1]],4,FALSE)</f>
        <v>7</v>
      </c>
      <c r="G10" s="195">
        <f>VLOOKUP(Tabulka9[[#This Row],[Sloupec1]],Tabulka591215273339[[Tým]:[Sloupec1]],4,FALSE)</f>
        <v>9</v>
      </c>
      <c r="H10" s="256">
        <f>VLOOKUP(Tabulka9[[#This Row],[Sloupec1]],Tabulka59121527333945[[Tým]:[Sloupec1]],4,FALSE)</f>
        <v>10</v>
      </c>
      <c r="I10" s="256">
        <f>VLOOKUP(Tabulka9[[#This Row],[Sloupec1]],Tabulka5912152733394551[[Tým]:[Sloupec1]],4,FALSE)</f>
        <v>9</v>
      </c>
      <c r="J10" s="248" t="e">
        <f>VLOOKUP(Tabulka9[[#This Row],[Sloupec1]],Tabulka591215273339455157[[Tým]:[Sloupec1]],4,FALSE)</f>
        <v>#N/A</v>
      </c>
      <c r="K10" s="248" t="e">
        <f>VLOOKUP(Tabulka9[[#This Row],[Sloupec1]],Tabulka59121527333945515763[[Tým]:[Sloupec1]],4,FALSE)</f>
        <v>#N/A</v>
      </c>
      <c r="L10" s="248" t="e">
        <f>VLOOKUP(Tabulka9[[#This Row],[Sloupec1]],Tabulka5912152733394551576369[[Tým]:[Sloupec1]],4,FALSE)</f>
        <v>#N/A</v>
      </c>
      <c r="M10" s="248" t="e">
        <f>VLOOKUP(Tabulka9[[#This Row],[Sloupec1]],Tabulka591215273339455157636975[[Tým]:[Sloupec1]],4,FALSE)</f>
        <v>#N/A</v>
      </c>
      <c r="N10" s="248" t="e">
        <f>VLOOKUP(Tabulka9[[#This Row],[Sloupec1]],Tabulka59121527333945515763697581[[Tým]:[Sloupec1]],4,FALSE)</f>
        <v>#N/A</v>
      </c>
      <c r="O10" s="248" t="e">
        <f>VLOOKUP(Tabulka9[[#This Row],[Sloupec1]],Tabulka5912152733394551576369758187[[Tým]:[Sloupec1]],4,FALSE)</f>
        <v>#N/A</v>
      </c>
      <c r="P10" s="248" t="e">
        <f>VLOOKUP(Tabulka9[[#This Row],[Sloupec1]],Tabulka591215273339455157636975818793[[Tým]:[Sloupec1]],4,FALSE)</f>
        <v>#N/A</v>
      </c>
      <c r="Q10" s="250" t="e">
        <f>VLOOKUP(Tabulka9[[#This Row],[Sloupec1]],Tabulka59121527333945515763697581879399[[Tým]:[ ]],4,FALSE)</f>
        <v>#N/A</v>
      </c>
      <c r="R10" s="246"/>
    </row>
    <row r="11" spans="2:18" ht="21" x14ac:dyDescent="0.35">
      <c r="B11" s="218" t="s">
        <v>15</v>
      </c>
      <c r="C11" s="201">
        <f>VLOOKUP(Tabulka9[[#This Row],[Sloupec1]],Tabulka59121521[[Tým]:[Sloupec1]],2,FALSE)</f>
        <v>6</v>
      </c>
      <c r="D11" s="195">
        <f>VLOOKUP(Tabulka9[[#This Row],[Sloupec1]],Tabulka591215[[Tým]:[Sloupec1]],4,FALSE)</f>
        <v>5</v>
      </c>
      <c r="E11" s="195">
        <f>VLOOKUP(Tabulka9[[#This Row],[Sloupec1]],Tabulka59121527[[Tým]:[Sloupec1]],4,FALSE)</f>
        <v>7</v>
      </c>
      <c r="F11" s="195">
        <f>VLOOKUP(Tabulka9[[#This Row],[Sloupec1]],Tabulka5912152733[[Tým]:[Sloupec1]],4,FALSE)</f>
        <v>8</v>
      </c>
      <c r="G11" s="195">
        <f>VLOOKUP(Tabulka9[[#This Row],[Sloupec1]],Tabulka591215273339[[Tým]:[Sloupec1]],4,FALSE)</f>
        <v>7</v>
      </c>
      <c r="H11" s="256">
        <f>VLOOKUP(Tabulka9[[#This Row],[Sloupec1]],Tabulka59121527333945[[Tým]:[Sloupec1]],4,FALSE)</f>
        <v>11</v>
      </c>
      <c r="I11" s="256">
        <f>VLOOKUP(Tabulka9[[#This Row],[Sloupec1]],Tabulka5912152733394551[[Tým]:[Sloupec1]],4,FALSE)</f>
        <v>9</v>
      </c>
      <c r="J11" s="248" t="e">
        <f>VLOOKUP(Tabulka9[[#This Row],[Sloupec1]],Tabulka591215273339455157[[Tým]:[Sloupec1]],4,FALSE)</f>
        <v>#N/A</v>
      </c>
      <c r="K11" s="248" t="e">
        <f>VLOOKUP(Tabulka9[[#This Row],[Sloupec1]],Tabulka59121527333945515763[[Tým]:[Sloupec1]],4,FALSE)</f>
        <v>#N/A</v>
      </c>
      <c r="L11" s="248" t="e">
        <f>VLOOKUP(Tabulka9[[#This Row],[Sloupec1]],Tabulka5912152733394551576369[[Tým]:[Sloupec1]],4,FALSE)</f>
        <v>#N/A</v>
      </c>
      <c r="M11" s="248" t="e">
        <f>VLOOKUP(Tabulka9[[#This Row],[Sloupec1]],Tabulka591215273339455157636975[[Tým]:[Sloupec1]],4,FALSE)</f>
        <v>#N/A</v>
      </c>
      <c r="N11" s="248" t="e">
        <f>VLOOKUP(Tabulka9[[#This Row],[Sloupec1]],Tabulka59121527333945515763697581[[Tým]:[Sloupec1]],4,FALSE)</f>
        <v>#N/A</v>
      </c>
      <c r="O11" s="248" t="e">
        <f>VLOOKUP(Tabulka9[[#This Row],[Sloupec1]],Tabulka5912152733394551576369758187[[Tým]:[Sloupec1]],4,FALSE)</f>
        <v>#N/A</v>
      </c>
      <c r="P11" s="248" t="e">
        <f>VLOOKUP(Tabulka9[[#This Row],[Sloupec1]],Tabulka591215273339455157636975818793[[Tým]:[Sloupec1]],4,FALSE)</f>
        <v>#N/A</v>
      </c>
      <c r="Q11" s="250" t="e">
        <f>VLOOKUP(Tabulka9[[#This Row],[Sloupec1]],Tabulka59121527333945515763697581879399[[Tým]:[ ]],4,FALSE)</f>
        <v>#N/A</v>
      </c>
      <c r="R11" s="246"/>
    </row>
    <row r="12" spans="2:18" ht="21" x14ac:dyDescent="0.35">
      <c r="B12" s="218" t="s">
        <v>10</v>
      </c>
      <c r="C12" s="201">
        <f>VLOOKUP(Tabulka9[[#This Row],[Sloupec1]],Tabulka59121521[[Tým]:[Sloupec1]],2,FALSE)</f>
        <v>7</v>
      </c>
      <c r="D12" s="195">
        <f>VLOOKUP(Tabulka9[[#This Row],[Sloupec1]],Tabulka591215[[Tým]:[Sloupec1]],4,FALSE)</f>
        <v>5</v>
      </c>
      <c r="E12" s="195">
        <f>VLOOKUP(Tabulka9[[#This Row],[Sloupec1]],Tabulka59121527[[Tým]:[Sloupec1]],4,FALSE)</f>
        <v>3</v>
      </c>
      <c r="F12" s="195">
        <f>VLOOKUP(Tabulka9[[#This Row],[Sloupec1]],Tabulka5912152733[[Tým]:[Sloupec1]],4,FALSE)</f>
        <v>3</v>
      </c>
      <c r="G12" s="195">
        <f>VLOOKUP(Tabulka9[[#This Row],[Sloupec1]],Tabulka591215273339[[Tým]:[Sloupec1]],4,FALSE)</f>
        <v>3</v>
      </c>
      <c r="H12" s="256">
        <f>VLOOKUP(Tabulka9[[#This Row],[Sloupec1]],Tabulka59121527333945[[Tým]:[Sloupec1]],4,FALSE)</f>
        <v>3</v>
      </c>
      <c r="I12" s="256">
        <f>VLOOKUP(Tabulka9[[#This Row],[Sloupec1]],Tabulka5912152733394551[[Tým]:[Sloupec1]],4,FALSE)</f>
        <v>4</v>
      </c>
      <c r="J12" s="248" t="e">
        <f>VLOOKUP(Tabulka9[[#This Row],[Sloupec1]],Tabulka591215273339455157[[Tým]:[Sloupec1]],4,FALSE)</f>
        <v>#N/A</v>
      </c>
      <c r="K12" s="248" t="e">
        <f>VLOOKUP(Tabulka9[[#This Row],[Sloupec1]],Tabulka59121527333945515763[[Tým]:[Sloupec1]],4,FALSE)</f>
        <v>#N/A</v>
      </c>
      <c r="L12" s="248" t="e">
        <f>VLOOKUP(Tabulka9[[#This Row],[Sloupec1]],Tabulka5912152733394551576369[[Tým]:[Sloupec1]],4,FALSE)</f>
        <v>#N/A</v>
      </c>
      <c r="M12" s="248" t="e">
        <f>VLOOKUP(Tabulka9[[#This Row],[Sloupec1]],Tabulka591215273339455157636975[[Tým]:[Sloupec1]],4,FALSE)</f>
        <v>#N/A</v>
      </c>
      <c r="N12" s="248" t="e">
        <f>VLOOKUP(Tabulka9[[#This Row],[Sloupec1]],Tabulka59121527333945515763697581[[Tým]:[Sloupec1]],4,FALSE)</f>
        <v>#N/A</v>
      </c>
      <c r="O12" s="248" t="e">
        <f>VLOOKUP(Tabulka9[[#This Row],[Sloupec1]],Tabulka5912152733394551576369758187[[Tým]:[Sloupec1]],4,FALSE)</f>
        <v>#N/A</v>
      </c>
      <c r="P12" s="248" t="e">
        <f>VLOOKUP(Tabulka9[[#This Row],[Sloupec1]],Tabulka591215273339455157636975818793[[Tým]:[Sloupec1]],4,FALSE)</f>
        <v>#N/A</v>
      </c>
      <c r="Q12" s="250" t="e">
        <f>VLOOKUP(Tabulka9[[#This Row],[Sloupec1]],Tabulka59121527333945515763697581879399[[Tým]:[ ]],4,FALSE)</f>
        <v>#N/A</v>
      </c>
      <c r="R12" s="246"/>
    </row>
    <row r="13" spans="2:18" ht="21" x14ac:dyDescent="0.35">
      <c r="B13" s="218" t="s">
        <v>18</v>
      </c>
      <c r="C13" s="201">
        <f>VLOOKUP(Tabulka9[[#This Row],[Sloupec1]],Tabulka59121521[[Tým]:[Sloupec1]],2,FALSE)</f>
        <v>8</v>
      </c>
      <c r="D13" s="195">
        <f>VLOOKUP(Tabulka9[[#This Row],[Sloupec1]],Tabulka591215[[Tým]:[Sloupec1]],4,FALSE)</f>
        <v>14</v>
      </c>
      <c r="E13" s="195">
        <f>VLOOKUP(Tabulka9[[#This Row],[Sloupec1]],Tabulka59121527[[Tým]:[Sloupec1]],4,FALSE)</f>
        <v>12</v>
      </c>
      <c r="F13" s="195">
        <f>VLOOKUP(Tabulka9[[#This Row],[Sloupec1]],Tabulka5912152733[[Tým]:[Sloupec1]],4,FALSE)</f>
        <v>15</v>
      </c>
      <c r="G13" s="195">
        <f>VLOOKUP(Tabulka9[[#This Row],[Sloupec1]],Tabulka591215273339[[Tým]:[Sloupec1]],4,FALSE)</f>
        <v>12</v>
      </c>
      <c r="H13" s="256">
        <f>VLOOKUP(Tabulka9[[#This Row],[Sloupec1]],Tabulka59121527333945[[Tým]:[Sloupec1]],4,FALSE)</f>
        <v>9</v>
      </c>
      <c r="I13" s="256">
        <f>VLOOKUP(Tabulka9[[#This Row],[Sloupec1]],Tabulka5912152733394551[[Tým]:[Sloupec1]],4,FALSE)</f>
        <v>8</v>
      </c>
      <c r="J13" s="248" t="e">
        <f>VLOOKUP(Tabulka9[[#This Row],[Sloupec1]],Tabulka591215273339455157[[Tým]:[Sloupec1]],4,FALSE)</f>
        <v>#N/A</v>
      </c>
      <c r="K13" s="248" t="e">
        <f>VLOOKUP(Tabulka9[[#This Row],[Sloupec1]],Tabulka59121527333945515763[[Tým]:[Sloupec1]],4,FALSE)</f>
        <v>#N/A</v>
      </c>
      <c r="L13" s="248" t="e">
        <f>VLOOKUP(Tabulka9[[#This Row],[Sloupec1]],Tabulka5912152733394551576369[[Tým]:[Sloupec1]],4,FALSE)</f>
        <v>#N/A</v>
      </c>
      <c r="M13" s="248" t="e">
        <f>VLOOKUP(Tabulka9[[#This Row],[Sloupec1]],Tabulka591215273339455157636975[[Tým]:[Sloupec1]],4,FALSE)</f>
        <v>#N/A</v>
      </c>
      <c r="N13" s="248" t="e">
        <f>VLOOKUP(Tabulka9[[#This Row],[Sloupec1]],Tabulka59121527333945515763697581[[Tým]:[Sloupec1]],4,FALSE)</f>
        <v>#N/A</v>
      </c>
      <c r="O13" s="248" t="e">
        <f>VLOOKUP(Tabulka9[[#This Row],[Sloupec1]],Tabulka5912152733394551576369758187[[Tým]:[Sloupec1]],4,FALSE)</f>
        <v>#N/A</v>
      </c>
      <c r="P13" s="248" t="e">
        <f>VLOOKUP(Tabulka9[[#This Row],[Sloupec1]],Tabulka591215273339455157636975818793[[Tým]:[Sloupec1]],4,FALSE)</f>
        <v>#N/A</v>
      </c>
      <c r="Q13" s="250" t="e">
        <f>VLOOKUP(Tabulka9[[#This Row],[Sloupec1]],Tabulka59121527333945515763697581879399[[Tým]:[ ]],4,FALSE)</f>
        <v>#N/A</v>
      </c>
      <c r="R13" s="246"/>
    </row>
    <row r="14" spans="2:18" ht="21" x14ac:dyDescent="0.35">
      <c r="B14" s="218" t="s">
        <v>23</v>
      </c>
      <c r="C14" s="201">
        <f>VLOOKUP(Tabulka9[[#This Row],[Sloupec1]],Tabulka59121521[[Tým]:[Sloupec1]],2,FALSE)</f>
        <v>9</v>
      </c>
      <c r="D14" s="195">
        <f>VLOOKUP(Tabulka9[[#This Row],[Sloupec1]],Tabulka591215[[Tým]:[Sloupec1]],4,FALSE)</f>
        <v>4</v>
      </c>
      <c r="E14" s="195">
        <f>VLOOKUP(Tabulka9[[#This Row],[Sloupec1]],Tabulka59121527[[Tým]:[Sloupec1]],4,FALSE)</f>
        <v>3</v>
      </c>
      <c r="F14" s="195">
        <f>VLOOKUP(Tabulka9[[#This Row],[Sloupec1]],Tabulka5912152733[[Tým]:[Sloupec1]],4,FALSE)</f>
        <v>4</v>
      </c>
      <c r="G14" s="195">
        <f>VLOOKUP(Tabulka9[[#This Row],[Sloupec1]],Tabulka591215273339[[Tým]:[Sloupec1]],4,FALSE)</f>
        <v>2</v>
      </c>
      <c r="H14" s="256">
        <f>VLOOKUP(Tabulka9[[#This Row],[Sloupec1]],Tabulka59121527333945[[Tým]:[Sloupec1]],4,FALSE)</f>
        <v>2</v>
      </c>
      <c r="I14" s="256">
        <f>VLOOKUP(Tabulka9[[#This Row],[Sloupec1]],Tabulka5912152733394551[[Tým]:[Sloupec1]],4,FALSE)</f>
        <v>2</v>
      </c>
      <c r="J14" s="248" t="e">
        <f>VLOOKUP(Tabulka9[[#This Row],[Sloupec1]],Tabulka591215273339455157[[Tým]:[Sloupec1]],4,FALSE)</f>
        <v>#N/A</v>
      </c>
      <c r="K14" s="248" t="e">
        <f>VLOOKUP(Tabulka9[[#This Row],[Sloupec1]],Tabulka59121527333945515763[[Tým]:[Sloupec1]],4,FALSE)</f>
        <v>#N/A</v>
      </c>
      <c r="L14" s="248" t="e">
        <f>VLOOKUP(Tabulka9[[#This Row],[Sloupec1]],Tabulka5912152733394551576369[[Tým]:[Sloupec1]],4,FALSE)</f>
        <v>#N/A</v>
      </c>
      <c r="M14" s="248" t="e">
        <f>VLOOKUP(Tabulka9[[#This Row],[Sloupec1]],Tabulka591215273339455157636975[[Tým]:[Sloupec1]],4,FALSE)</f>
        <v>#N/A</v>
      </c>
      <c r="N14" s="248" t="e">
        <f>VLOOKUP(Tabulka9[[#This Row],[Sloupec1]],Tabulka59121527333945515763697581[[Tým]:[Sloupec1]],4,FALSE)</f>
        <v>#N/A</v>
      </c>
      <c r="O14" s="248" t="e">
        <f>VLOOKUP(Tabulka9[[#This Row],[Sloupec1]],Tabulka5912152733394551576369758187[[Tým]:[Sloupec1]],4,FALSE)</f>
        <v>#N/A</v>
      </c>
      <c r="P14" s="248" t="e">
        <f>VLOOKUP(Tabulka9[[#This Row],[Sloupec1]],Tabulka591215273339455157636975818793[[Tým]:[Sloupec1]],4,FALSE)</f>
        <v>#N/A</v>
      </c>
      <c r="Q14" s="250" t="e">
        <f>VLOOKUP(Tabulka9[[#This Row],[Sloupec1]],Tabulka59121527333945515763697581879399[[Tým]:[ ]],4,FALSE)</f>
        <v>#N/A</v>
      </c>
      <c r="R14" s="246"/>
    </row>
    <row r="15" spans="2:18" ht="21" x14ac:dyDescent="0.35">
      <c r="B15" s="218" t="s">
        <v>6</v>
      </c>
      <c r="C15" s="201">
        <f>VLOOKUP(Tabulka9[[#This Row],[Sloupec1]],Tabulka59121521[[Tým]:[Sloupec1]],2,FALSE)</f>
        <v>10</v>
      </c>
      <c r="D15" s="195">
        <f>VLOOKUP(Tabulka9[[#This Row],[Sloupec1]],Tabulka591215[[Tým]:[Sloupec1]],4,FALSE)</f>
        <v>10</v>
      </c>
      <c r="E15" s="195">
        <f>VLOOKUP(Tabulka9[[#This Row],[Sloupec1]],Tabulka59121527[[Tým]:[Sloupec1]],4,FALSE)</f>
        <v>11</v>
      </c>
      <c r="F15" s="195">
        <f>VLOOKUP(Tabulka9[[#This Row],[Sloupec1]],Tabulka5912152733[[Tým]:[Sloupec1]],4,FALSE)</f>
        <v>10</v>
      </c>
      <c r="G15" s="195">
        <f>VLOOKUP(Tabulka9[[#This Row],[Sloupec1]],Tabulka591215273339[[Tým]:[Sloupec1]],4,FALSE)</f>
        <v>16</v>
      </c>
      <c r="H15" s="256">
        <f>VLOOKUP(Tabulka9[[#This Row],[Sloupec1]],Tabulka59121527333945[[Tým]:[Sloupec1]],4,FALSE)</f>
        <v>15</v>
      </c>
      <c r="I15" s="256">
        <f>VLOOKUP(Tabulka9[[#This Row],[Sloupec1]],Tabulka5912152733394551[[Tým]:[Sloupec1]],4,FALSE)</f>
        <v>16</v>
      </c>
      <c r="J15" s="248" t="e">
        <f>VLOOKUP(Tabulka9[[#This Row],[Sloupec1]],Tabulka591215273339455157[[Tým]:[Sloupec1]],4,FALSE)</f>
        <v>#N/A</v>
      </c>
      <c r="K15" s="248" t="e">
        <f>VLOOKUP(Tabulka9[[#This Row],[Sloupec1]],Tabulka59121527333945515763[[Tým]:[Sloupec1]],4,FALSE)</f>
        <v>#N/A</v>
      </c>
      <c r="L15" s="248" t="e">
        <f>VLOOKUP(Tabulka9[[#This Row],[Sloupec1]],Tabulka5912152733394551576369[[Tým]:[Sloupec1]],4,FALSE)</f>
        <v>#N/A</v>
      </c>
      <c r="M15" s="248" t="e">
        <f>VLOOKUP(Tabulka9[[#This Row],[Sloupec1]],Tabulka591215273339455157636975[[Tým]:[Sloupec1]],4,FALSE)</f>
        <v>#N/A</v>
      </c>
      <c r="N15" s="248" t="e">
        <f>VLOOKUP(Tabulka9[[#This Row],[Sloupec1]],Tabulka59121527333945515763697581[[Tým]:[Sloupec1]],4,FALSE)</f>
        <v>#N/A</v>
      </c>
      <c r="O15" s="248" t="e">
        <f>VLOOKUP(Tabulka9[[#This Row],[Sloupec1]],Tabulka5912152733394551576369758187[[Tým]:[Sloupec1]],4,FALSE)</f>
        <v>#N/A</v>
      </c>
      <c r="P15" s="248" t="e">
        <f>VLOOKUP(Tabulka9[[#This Row],[Sloupec1]],Tabulka591215273339455157636975818793[[Tým]:[Sloupec1]],4,FALSE)</f>
        <v>#N/A</v>
      </c>
      <c r="Q15" s="250" t="e">
        <f>VLOOKUP(Tabulka9[[#This Row],[Sloupec1]],Tabulka59121527333945515763697581879399[[Tým]:[ ]],4,FALSE)</f>
        <v>#N/A</v>
      </c>
      <c r="R15" s="246"/>
    </row>
    <row r="16" spans="2:18" ht="21" x14ac:dyDescent="0.35">
      <c r="B16" s="218" t="s">
        <v>31</v>
      </c>
      <c r="C16" s="201">
        <f>VLOOKUP(Tabulka9[[#This Row],[Sloupec1]],Tabulka59121521[[Tým]:[Sloupec1]],2,FALSE)</f>
        <v>11</v>
      </c>
      <c r="D16" s="195">
        <f>VLOOKUP(Tabulka9[[#This Row],[Sloupec1]],Tabulka591215[[Tým]:[Sloupec1]],4,FALSE)</f>
        <v>9</v>
      </c>
      <c r="E16" s="195">
        <f>VLOOKUP(Tabulka9[[#This Row],[Sloupec1]],Tabulka59121527[[Tým]:[Sloupec1]],4,FALSE)</f>
        <v>13</v>
      </c>
      <c r="F16" s="195">
        <f>VLOOKUP(Tabulka9[[#This Row],[Sloupec1]],Tabulka5912152733[[Tým]:[Sloupec1]],4,FALSE)</f>
        <v>18</v>
      </c>
      <c r="G16" s="195">
        <f>VLOOKUP(Tabulka9[[#This Row],[Sloupec1]],Tabulka591215273339[[Tým]:[Sloupec1]],4,FALSE)</f>
        <v>18</v>
      </c>
      <c r="H16" s="256">
        <f>VLOOKUP(Tabulka9[[#This Row],[Sloupec1]],Tabulka59121527333945[[Tým]:[Sloupec1]],4,FALSE)</f>
        <v>18</v>
      </c>
      <c r="I16" s="256">
        <f>VLOOKUP(Tabulka9[[#This Row],[Sloupec1]],Tabulka5912152733394551[[Tým]:[Sloupec1]],4,FALSE)</f>
        <v>18</v>
      </c>
      <c r="J16" s="248" t="e">
        <f>VLOOKUP(Tabulka9[[#This Row],[Sloupec1]],Tabulka591215273339455157[[Tým]:[Sloupec1]],4,FALSE)</f>
        <v>#N/A</v>
      </c>
      <c r="K16" s="248" t="e">
        <f>VLOOKUP(Tabulka9[[#This Row],[Sloupec1]],Tabulka59121527333945515763[[Tým]:[Sloupec1]],4,FALSE)</f>
        <v>#N/A</v>
      </c>
      <c r="L16" s="248" t="e">
        <f>VLOOKUP(Tabulka9[[#This Row],[Sloupec1]],Tabulka5912152733394551576369[[Tým]:[Sloupec1]],4,FALSE)</f>
        <v>#N/A</v>
      </c>
      <c r="M16" s="248" t="e">
        <f>VLOOKUP(Tabulka9[[#This Row],[Sloupec1]],Tabulka591215273339455157636975[[Tým]:[Sloupec1]],4,FALSE)</f>
        <v>#N/A</v>
      </c>
      <c r="N16" s="248" t="e">
        <f>VLOOKUP(Tabulka9[[#This Row],[Sloupec1]],Tabulka59121527333945515763697581[[Tým]:[Sloupec1]],4,FALSE)</f>
        <v>#N/A</v>
      </c>
      <c r="O16" s="248" t="e">
        <f>VLOOKUP(Tabulka9[[#This Row],[Sloupec1]],Tabulka5912152733394551576369758187[[Tým]:[Sloupec1]],4,FALSE)</f>
        <v>#N/A</v>
      </c>
      <c r="P16" s="248" t="e">
        <f>VLOOKUP(Tabulka9[[#This Row],[Sloupec1]],Tabulka591215273339455157636975818793[[Tým]:[Sloupec1]],4,FALSE)</f>
        <v>#N/A</v>
      </c>
      <c r="Q16" s="250" t="e">
        <f>VLOOKUP(Tabulka9[[#This Row],[Sloupec1]],Tabulka59121527333945515763697581879399[[Tým]:[ ]],4,FALSE)</f>
        <v>#N/A</v>
      </c>
      <c r="R16" s="246"/>
    </row>
    <row r="17" spans="2:18" ht="21" x14ac:dyDescent="0.35">
      <c r="B17" s="218" t="s">
        <v>16</v>
      </c>
      <c r="C17" s="201">
        <f>VLOOKUP(Tabulka9[[#This Row],[Sloupec1]],Tabulka59121521[[Tým]:[Sloupec1]],2,FALSE)</f>
        <v>12</v>
      </c>
      <c r="D17" s="195">
        <f>VLOOKUP(Tabulka9[[#This Row],[Sloupec1]],Tabulka591215[[Tým]:[Sloupec1]],4,FALSE)</f>
        <v>7</v>
      </c>
      <c r="E17" s="195">
        <f>VLOOKUP(Tabulka9[[#This Row],[Sloupec1]],Tabulka59121527[[Tým]:[Sloupec1]],4,FALSE)</f>
        <v>10</v>
      </c>
      <c r="F17" s="195">
        <f>VLOOKUP(Tabulka9[[#This Row],[Sloupec1]],Tabulka5912152733[[Tým]:[Sloupec1]],4,FALSE)</f>
        <v>9</v>
      </c>
      <c r="G17" s="195">
        <f>VLOOKUP(Tabulka9[[#This Row],[Sloupec1]],Tabulka591215273339[[Tým]:[Sloupec1]],4,FALSE)</f>
        <v>8</v>
      </c>
      <c r="H17" s="256">
        <f>VLOOKUP(Tabulka9[[#This Row],[Sloupec1]],Tabulka59121527333945[[Tým]:[Sloupec1]],4,FALSE)</f>
        <v>7</v>
      </c>
      <c r="I17" s="256">
        <f>VLOOKUP(Tabulka9[[#This Row],[Sloupec1]],Tabulka5912152733394551[[Tým]:[Sloupec1]],4,FALSE)</f>
        <v>7</v>
      </c>
      <c r="J17" s="248" t="e">
        <f>VLOOKUP(Tabulka9[[#This Row],[Sloupec1]],Tabulka591215273339455157[[Tým]:[Sloupec1]],4,FALSE)</f>
        <v>#N/A</v>
      </c>
      <c r="K17" s="248" t="e">
        <f>VLOOKUP(Tabulka9[[#This Row],[Sloupec1]],Tabulka59121527333945515763[[Tým]:[Sloupec1]],4,FALSE)</f>
        <v>#N/A</v>
      </c>
      <c r="L17" s="248" t="e">
        <f>VLOOKUP(Tabulka9[[#This Row],[Sloupec1]],Tabulka5912152733394551576369[[Tým]:[Sloupec1]],4,FALSE)</f>
        <v>#N/A</v>
      </c>
      <c r="M17" s="248" t="e">
        <f>VLOOKUP(Tabulka9[[#This Row],[Sloupec1]],Tabulka591215273339455157636975[[Tým]:[Sloupec1]],4,FALSE)</f>
        <v>#N/A</v>
      </c>
      <c r="N17" s="248" t="e">
        <f>VLOOKUP(Tabulka9[[#This Row],[Sloupec1]],Tabulka59121527333945515763697581[[Tým]:[Sloupec1]],4,FALSE)</f>
        <v>#N/A</v>
      </c>
      <c r="O17" s="248" t="e">
        <f>VLOOKUP(Tabulka9[[#This Row],[Sloupec1]],Tabulka5912152733394551576369758187[[Tým]:[Sloupec1]],4,FALSE)</f>
        <v>#N/A</v>
      </c>
      <c r="P17" s="248" t="e">
        <f>VLOOKUP(Tabulka9[[#This Row],[Sloupec1]],Tabulka591215273339455157636975818793[[Tým]:[Sloupec1]],4,FALSE)</f>
        <v>#N/A</v>
      </c>
      <c r="Q17" s="250" t="e">
        <f>VLOOKUP(Tabulka9[[#This Row],[Sloupec1]],Tabulka59121527333945515763697581879399[[Tým]:[ ]],4,FALSE)</f>
        <v>#N/A</v>
      </c>
      <c r="R17" s="246"/>
    </row>
    <row r="18" spans="2:18" ht="21" x14ac:dyDescent="0.35">
      <c r="B18" s="218" t="s">
        <v>32</v>
      </c>
      <c r="C18" s="201">
        <f>VLOOKUP(Tabulka9[[#This Row],[Sloupec1]],Tabulka59121521[[Tým]:[Sloupec1]],2,FALSE)</f>
        <v>13</v>
      </c>
      <c r="D18" s="195">
        <f>VLOOKUP(Tabulka9[[#This Row],[Sloupec1]],Tabulka591215[[Tým]:[Sloupec1]],4,FALSE)</f>
        <v>10</v>
      </c>
      <c r="E18" s="195">
        <f>VLOOKUP(Tabulka9[[#This Row],[Sloupec1]],Tabulka59121527[[Tým]:[Sloupec1]],4,FALSE)</f>
        <v>7</v>
      </c>
      <c r="F18" s="195">
        <f>VLOOKUP(Tabulka9[[#This Row],[Sloupec1]],Tabulka5912152733[[Tým]:[Sloupec1]],4,FALSE)</f>
        <v>12</v>
      </c>
      <c r="G18" s="195">
        <f>VLOOKUP(Tabulka9[[#This Row],[Sloupec1]],Tabulka591215273339[[Tým]:[Sloupec1]],4,FALSE)</f>
        <v>14</v>
      </c>
      <c r="H18" s="256">
        <f>VLOOKUP(Tabulka9[[#This Row],[Sloupec1]],Tabulka59121527333945[[Tým]:[Sloupec1]],4,FALSE)</f>
        <v>16</v>
      </c>
      <c r="I18" s="256">
        <f>VLOOKUP(Tabulka9[[#This Row],[Sloupec1]],Tabulka5912152733394551[[Tým]:[Sloupec1]],4,FALSE)</f>
        <v>17</v>
      </c>
      <c r="J18" s="248" t="e">
        <f>VLOOKUP(Tabulka9[[#This Row],[Sloupec1]],Tabulka591215273339455157[[Tým]:[Sloupec1]],4,FALSE)</f>
        <v>#N/A</v>
      </c>
      <c r="K18" s="248" t="e">
        <f>VLOOKUP(Tabulka9[[#This Row],[Sloupec1]],Tabulka59121527333945515763[[Tým]:[Sloupec1]],4,FALSE)</f>
        <v>#N/A</v>
      </c>
      <c r="L18" s="248" t="e">
        <f>VLOOKUP(Tabulka9[[#This Row],[Sloupec1]],Tabulka5912152733394551576369[[Tým]:[Sloupec1]],4,FALSE)</f>
        <v>#N/A</v>
      </c>
      <c r="M18" s="248" t="e">
        <f>VLOOKUP(Tabulka9[[#This Row],[Sloupec1]],Tabulka591215273339455157636975[[Tým]:[Sloupec1]],4,FALSE)</f>
        <v>#N/A</v>
      </c>
      <c r="N18" s="248" t="e">
        <f>VLOOKUP(Tabulka9[[#This Row],[Sloupec1]],Tabulka59121527333945515763697581[[Tým]:[Sloupec1]],4,FALSE)</f>
        <v>#N/A</v>
      </c>
      <c r="O18" s="248" t="e">
        <f>VLOOKUP(Tabulka9[[#This Row],[Sloupec1]],Tabulka5912152733394551576369758187[[Tým]:[Sloupec1]],4,FALSE)</f>
        <v>#N/A</v>
      </c>
      <c r="P18" s="248" t="e">
        <f>VLOOKUP(Tabulka9[[#This Row],[Sloupec1]],Tabulka591215273339455157636975818793[[Tým]:[Sloupec1]],4,FALSE)</f>
        <v>#N/A</v>
      </c>
      <c r="Q18" s="250" t="e">
        <f>VLOOKUP(Tabulka9[[#This Row],[Sloupec1]],Tabulka59121527333945515763697581879399[[Tým]:[ ]],4,FALSE)</f>
        <v>#N/A</v>
      </c>
      <c r="R18" s="246"/>
    </row>
    <row r="19" spans="2:18" ht="21" x14ac:dyDescent="0.35">
      <c r="B19" s="218" t="s">
        <v>25</v>
      </c>
      <c r="C19" s="201">
        <f>VLOOKUP(Tabulka9[[#This Row],[Sloupec1]],Tabulka59121521[[Tým]:[Sloupec1]],2,FALSE)</f>
        <v>14</v>
      </c>
      <c r="D19" s="195">
        <f>VLOOKUP(Tabulka9[[#This Row],[Sloupec1]],Tabulka591215[[Tým]:[Sloupec1]],4,FALSE)</f>
        <v>14</v>
      </c>
      <c r="E19" s="195">
        <f>VLOOKUP(Tabulka9[[#This Row],[Sloupec1]],Tabulka59121527[[Tým]:[Sloupec1]],4,FALSE)</f>
        <v>13</v>
      </c>
      <c r="F19" s="195">
        <f>VLOOKUP(Tabulka9[[#This Row],[Sloupec1]],Tabulka5912152733[[Tým]:[Sloupec1]],4,FALSE)</f>
        <v>11</v>
      </c>
      <c r="G19" s="195">
        <f>VLOOKUP(Tabulka9[[#This Row],[Sloupec1]],Tabulka591215273339[[Tým]:[Sloupec1]],4,FALSE)</f>
        <v>12</v>
      </c>
      <c r="H19" s="256">
        <f>VLOOKUP(Tabulka9[[#This Row],[Sloupec1]],Tabulka59121527333945[[Tým]:[Sloupec1]],4,FALSE)</f>
        <v>13</v>
      </c>
      <c r="I19" s="256">
        <f>VLOOKUP(Tabulka9[[#This Row],[Sloupec1]],Tabulka5912152733394551[[Tým]:[Sloupec1]],4,FALSE)</f>
        <v>11</v>
      </c>
      <c r="J19" s="248" t="e">
        <f>VLOOKUP(Tabulka9[[#This Row],[Sloupec1]],Tabulka591215273339455157[[Tým]:[Sloupec1]],4,FALSE)</f>
        <v>#N/A</v>
      </c>
      <c r="K19" s="248" t="e">
        <f>VLOOKUP(Tabulka9[[#This Row],[Sloupec1]],Tabulka59121527333945515763[[Tým]:[Sloupec1]],4,FALSE)</f>
        <v>#N/A</v>
      </c>
      <c r="L19" s="248" t="e">
        <f>VLOOKUP(Tabulka9[[#This Row],[Sloupec1]],Tabulka5912152733394551576369[[Tým]:[Sloupec1]],4,FALSE)</f>
        <v>#N/A</v>
      </c>
      <c r="M19" s="248" t="e">
        <f>VLOOKUP(Tabulka9[[#This Row],[Sloupec1]],Tabulka591215273339455157636975[[Tým]:[Sloupec1]],4,FALSE)</f>
        <v>#N/A</v>
      </c>
      <c r="N19" s="248" t="e">
        <f>VLOOKUP(Tabulka9[[#This Row],[Sloupec1]],Tabulka59121527333945515763697581[[Tým]:[Sloupec1]],4,FALSE)</f>
        <v>#N/A</v>
      </c>
      <c r="O19" s="248" t="e">
        <f>VLOOKUP(Tabulka9[[#This Row],[Sloupec1]],Tabulka5912152733394551576369758187[[Tým]:[Sloupec1]],4,FALSE)</f>
        <v>#N/A</v>
      </c>
      <c r="P19" s="248" t="e">
        <f>VLOOKUP(Tabulka9[[#This Row],[Sloupec1]],Tabulka591215273339455157636975818793[[Tým]:[Sloupec1]],4,FALSE)</f>
        <v>#N/A</v>
      </c>
      <c r="Q19" s="250" t="e">
        <f>VLOOKUP(Tabulka9[[#This Row],[Sloupec1]],Tabulka59121527333945515763697581879399[[Tým]:[ ]],4,FALSE)</f>
        <v>#N/A</v>
      </c>
      <c r="R19" s="246"/>
    </row>
    <row r="20" spans="2:18" ht="21" x14ac:dyDescent="0.35">
      <c r="B20" s="218" t="s">
        <v>14</v>
      </c>
      <c r="C20" s="201">
        <f>VLOOKUP(Tabulka9[[#This Row],[Sloupec1]],Tabulka59121521[[Tým]:[Sloupec1]],2,FALSE)</f>
        <v>15</v>
      </c>
      <c r="D20" s="195">
        <f>VLOOKUP(Tabulka9[[#This Row],[Sloupec1]],Tabulka591215[[Tým]:[Sloupec1]],4,FALSE)</f>
        <v>17</v>
      </c>
      <c r="E20" s="195">
        <f>VLOOKUP(Tabulka9[[#This Row],[Sloupec1]],Tabulka59121527[[Tým]:[Sloupec1]],4,FALSE)</f>
        <v>15</v>
      </c>
      <c r="F20" s="195">
        <f>VLOOKUP(Tabulka9[[#This Row],[Sloupec1]],Tabulka5912152733[[Tým]:[Sloupec1]],4,FALSE)</f>
        <v>12</v>
      </c>
      <c r="G20" s="195">
        <f>VLOOKUP(Tabulka9[[#This Row],[Sloupec1]],Tabulka591215273339[[Tým]:[Sloupec1]],4,FALSE)</f>
        <v>11</v>
      </c>
      <c r="H20" s="256">
        <f>VLOOKUP(Tabulka9[[#This Row],[Sloupec1]],Tabulka59121527333945[[Tým]:[Sloupec1]],4,FALSE)</f>
        <v>12</v>
      </c>
      <c r="I20" s="256">
        <f>VLOOKUP(Tabulka9[[#This Row],[Sloupec1]],Tabulka5912152733394551[[Tým]:[Sloupec1]],4,FALSE)</f>
        <v>13</v>
      </c>
      <c r="J20" s="248" t="e">
        <f>VLOOKUP(Tabulka9[[#This Row],[Sloupec1]],Tabulka591215273339455157[[Tým]:[Sloupec1]],4,FALSE)</f>
        <v>#N/A</v>
      </c>
      <c r="K20" s="248" t="e">
        <f>VLOOKUP(Tabulka9[[#This Row],[Sloupec1]],Tabulka59121527333945515763[[Tým]:[Sloupec1]],4,FALSE)</f>
        <v>#N/A</v>
      </c>
      <c r="L20" s="248" t="e">
        <f>VLOOKUP(Tabulka9[[#This Row],[Sloupec1]],Tabulka5912152733394551576369[[Tým]:[Sloupec1]],4,FALSE)</f>
        <v>#N/A</v>
      </c>
      <c r="M20" s="248" t="e">
        <f>VLOOKUP(Tabulka9[[#This Row],[Sloupec1]],Tabulka591215273339455157636975[[Tým]:[Sloupec1]],4,FALSE)</f>
        <v>#N/A</v>
      </c>
      <c r="N20" s="248" t="e">
        <f>VLOOKUP(Tabulka9[[#This Row],[Sloupec1]],Tabulka59121527333945515763697581[[Tým]:[Sloupec1]],4,FALSE)</f>
        <v>#N/A</v>
      </c>
      <c r="O20" s="248" t="e">
        <f>VLOOKUP(Tabulka9[[#This Row],[Sloupec1]],Tabulka5912152733394551576369758187[[Tým]:[Sloupec1]],4,FALSE)</f>
        <v>#N/A</v>
      </c>
      <c r="P20" s="248" t="e">
        <f>VLOOKUP(Tabulka9[[#This Row],[Sloupec1]],Tabulka591215273339455157636975818793[[Tým]:[Sloupec1]],4,FALSE)</f>
        <v>#N/A</v>
      </c>
      <c r="Q20" s="250" t="e">
        <f>VLOOKUP(Tabulka9[[#This Row],[Sloupec1]],Tabulka59121527333945515763697581879399[[Tým]:[ ]],4,FALSE)</f>
        <v>#N/A</v>
      </c>
      <c r="R20" s="246"/>
    </row>
    <row r="21" spans="2:18" ht="21" x14ac:dyDescent="0.35">
      <c r="B21" s="219" t="s">
        <v>33</v>
      </c>
      <c r="C21" s="201">
        <f>VLOOKUP(Tabulka9[[#This Row],[Sloupec1]],Tabulka59121521[[Tým]:[Sloupec1]],2,FALSE)</f>
        <v>16</v>
      </c>
      <c r="D21" s="195">
        <f>VLOOKUP(Tabulka9[[#This Row],[Sloupec1]],Tabulka591215[[Tým]:[Sloupec1]],4,FALSE)</f>
        <v>18</v>
      </c>
      <c r="E21" s="195">
        <f>VLOOKUP(Tabulka9[[#This Row],[Sloupec1]],Tabulka59121527[[Tým]:[Sloupec1]],4,FALSE)</f>
        <v>18</v>
      </c>
      <c r="F21" s="195">
        <f>VLOOKUP(Tabulka9[[#This Row],[Sloupec1]],Tabulka5912152733[[Tým]:[Sloupec1]],4,FALSE)</f>
        <v>16</v>
      </c>
      <c r="G21" s="195">
        <f>VLOOKUP(Tabulka9[[#This Row],[Sloupec1]],Tabulka591215273339[[Tým]:[Sloupec1]],4,FALSE)</f>
        <v>17</v>
      </c>
      <c r="H21" s="256">
        <f>VLOOKUP(Tabulka9[[#This Row],[Sloupec1]],Tabulka59121527333945[[Tým]:[Sloupec1]],4,FALSE)</f>
        <v>17</v>
      </c>
      <c r="I21" s="256">
        <f>VLOOKUP(Tabulka9[[#This Row],[Sloupec1]],Tabulka5912152733394551[[Tým]:[Sloupec1]],4,FALSE)</f>
        <v>15</v>
      </c>
      <c r="J21" s="248" t="e">
        <f>VLOOKUP(Tabulka9[[#This Row],[Sloupec1]],Tabulka591215273339455157[[Tým]:[Sloupec1]],4,FALSE)</f>
        <v>#N/A</v>
      </c>
      <c r="K21" s="248" t="e">
        <f>VLOOKUP(Tabulka9[[#This Row],[Sloupec1]],Tabulka59121527333945515763[[Tým]:[Sloupec1]],4,FALSE)</f>
        <v>#N/A</v>
      </c>
      <c r="L21" s="248" t="e">
        <f>VLOOKUP(Tabulka9[[#This Row],[Sloupec1]],Tabulka5912152733394551576369[[Tým]:[Sloupec1]],4,FALSE)</f>
        <v>#N/A</v>
      </c>
      <c r="M21" s="248" t="e">
        <f>VLOOKUP(Tabulka9[[#This Row],[Sloupec1]],Tabulka591215273339455157636975[[Tým]:[Sloupec1]],4,FALSE)</f>
        <v>#N/A</v>
      </c>
      <c r="N21" s="248" t="e">
        <f>VLOOKUP(Tabulka9[[#This Row],[Sloupec1]],Tabulka59121527333945515763697581[[Tým]:[Sloupec1]],4,FALSE)</f>
        <v>#N/A</v>
      </c>
      <c r="O21" s="248" t="e">
        <f>VLOOKUP(Tabulka9[[#This Row],[Sloupec1]],Tabulka5912152733394551576369758187[[Tým]:[Sloupec1]],4,FALSE)</f>
        <v>#N/A</v>
      </c>
      <c r="P21" s="248" t="e">
        <f>VLOOKUP(Tabulka9[[#This Row],[Sloupec1]],Tabulka591215273339455157636975818793[[Tým]:[Sloupec1]],4,FALSE)</f>
        <v>#N/A</v>
      </c>
      <c r="Q21" s="250" t="e">
        <f>VLOOKUP(Tabulka9[[#This Row],[Sloupec1]],Tabulka59121527333945515763697581879399[[Tým]:[ ]],4,FALSE)</f>
        <v>#N/A</v>
      </c>
      <c r="R21" s="246"/>
    </row>
    <row r="22" spans="2:18" ht="21" x14ac:dyDescent="0.35">
      <c r="B22" s="219" t="s">
        <v>17</v>
      </c>
      <c r="C22" s="201">
        <f>VLOOKUP(Tabulka9[[#This Row],[Sloupec1]],Tabulka59121521[[Tým]:[Sloupec1]],2,FALSE)</f>
        <v>16</v>
      </c>
      <c r="D22" s="195">
        <f>VLOOKUP(Tabulka9[[#This Row],[Sloupec1]],Tabulka591215[[Tým]:[Sloupec1]],4,FALSE)</f>
        <v>16</v>
      </c>
      <c r="E22" s="195">
        <f>VLOOKUP(Tabulka9[[#This Row],[Sloupec1]],Tabulka59121527[[Tým]:[Sloupec1]],4,FALSE)</f>
        <v>19</v>
      </c>
      <c r="F22" s="195">
        <f>VLOOKUP(Tabulka9[[#This Row],[Sloupec1]],Tabulka5912152733[[Tým]:[Sloupec1]],4,FALSE)</f>
        <v>19</v>
      </c>
      <c r="G22" s="195">
        <f>VLOOKUP(Tabulka9[[#This Row],[Sloupec1]],Tabulka591215273339[[Tým]:[Sloupec1]],4,FALSE)</f>
        <v>19</v>
      </c>
      <c r="H22" s="256">
        <f>VLOOKUP(Tabulka9[[#This Row],[Sloupec1]],Tabulka59121527333945[[Tým]:[Sloupec1]],4,FALSE)</f>
        <v>19</v>
      </c>
      <c r="I22" s="256">
        <f>VLOOKUP(Tabulka9[[#This Row],[Sloupec1]],Tabulka5912152733394551[[Tým]:[Sloupec1]],4,FALSE)</f>
        <v>19</v>
      </c>
      <c r="J22" s="248" t="e">
        <f>VLOOKUP(Tabulka9[[#This Row],[Sloupec1]],Tabulka591215273339455157[[Tým]:[Sloupec1]],4,FALSE)</f>
        <v>#N/A</v>
      </c>
      <c r="K22" s="248" t="e">
        <f>VLOOKUP(Tabulka9[[#This Row],[Sloupec1]],Tabulka59121527333945515763[[Tým]:[Sloupec1]],4,FALSE)</f>
        <v>#N/A</v>
      </c>
      <c r="L22" s="248" t="e">
        <f>VLOOKUP(Tabulka9[[#This Row],[Sloupec1]],Tabulka5912152733394551576369[[Tým]:[Sloupec1]],4,FALSE)</f>
        <v>#N/A</v>
      </c>
      <c r="M22" s="248" t="e">
        <f>VLOOKUP(Tabulka9[[#This Row],[Sloupec1]],Tabulka591215273339455157636975[[Tým]:[Sloupec1]],4,FALSE)</f>
        <v>#N/A</v>
      </c>
      <c r="N22" s="248" t="e">
        <f>VLOOKUP(Tabulka9[[#This Row],[Sloupec1]],Tabulka59121527333945515763697581[[Tým]:[Sloupec1]],4,FALSE)</f>
        <v>#N/A</v>
      </c>
      <c r="O22" s="248" t="e">
        <f>VLOOKUP(Tabulka9[[#This Row],[Sloupec1]],Tabulka5912152733394551576369758187[[Tým]:[Sloupec1]],4,FALSE)</f>
        <v>#N/A</v>
      </c>
      <c r="P22" s="248" t="e">
        <f>VLOOKUP(Tabulka9[[#This Row],[Sloupec1]],Tabulka591215273339455157636975818793[[Tým]:[Sloupec1]],4,FALSE)</f>
        <v>#N/A</v>
      </c>
      <c r="Q22" s="250" t="e">
        <f>VLOOKUP(Tabulka9[[#This Row],[Sloupec1]],Tabulka59121527333945515763697581879399[[Tým]:[ ]],4,FALSE)</f>
        <v>#N/A</v>
      </c>
      <c r="R22" s="246"/>
    </row>
    <row r="23" spans="2:18" ht="21" x14ac:dyDescent="0.35">
      <c r="B23" s="218" t="s">
        <v>24</v>
      </c>
      <c r="C23" s="201">
        <f>VLOOKUP(Tabulka9[[#This Row],[Sloupec1]],Tabulka59121521[[Tým]:[Sloupec1]],2,FALSE)</f>
        <v>16</v>
      </c>
      <c r="D23" s="195">
        <f>VLOOKUP(Tabulka9[[#This Row],[Sloupec1]],Tabulka591215[[Tým]:[Sloupec1]],4,FALSE)</f>
        <v>19</v>
      </c>
      <c r="E23" s="195">
        <f>VLOOKUP(Tabulka9[[#This Row],[Sloupec1]],Tabulka59121527[[Tým]:[Sloupec1]],4,FALSE)</f>
        <v>17</v>
      </c>
      <c r="F23" s="195">
        <f>VLOOKUP(Tabulka9[[#This Row],[Sloupec1]],Tabulka5912152733[[Tým]:[Sloupec1]],4,FALSE)</f>
        <v>17</v>
      </c>
      <c r="G23" s="195">
        <f>VLOOKUP(Tabulka9[[#This Row],[Sloupec1]],Tabulka591215273339[[Tým]:[Sloupec1]],4,FALSE)</f>
        <v>15</v>
      </c>
      <c r="H23" s="256">
        <f>VLOOKUP(Tabulka9[[#This Row],[Sloupec1]],Tabulka59121527333945[[Tým]:[Sloupec1]],4,FALSE)</f>
        <v>14</v>
      </c>
      <c r="I23" s="256">
        <f>VLOOKUP(Tabulka9[[#This Row],[Sloupec1]],Tabulka5912152733394551[[Tým]:[Sloupec1]],4,FALSE)</f>
        <v>12</v>
      </c>
      <c r="J23" s="248" t="e">
        <f>VLOOKUP(Tabulka9[[#This Row],[Sloupec1]],Tabulka591215273339455157[[Tým]:[Sloupec1]],4,FALSE)</f>
        <v>#N/A</v>
      </c>
      <c r="K23" s="248" t="e">
        <f>VLOOKUP(Tabulka9[[#This Row],[Sloupec1]],Tabulka59121527333945515763[[Tým]:[Sloupec1]],4,FALSE)</f>
        <v>#N/A</v>
      </c>
      <c r="L23" s="248" t="e">
        <f>VLOOKUP(Tabulka9[[#This Row],[Sloupec1]],Tabulka5912152733394551576369[[Tým]:[Sloupec1]],4,FALSE)</f>
        <v>#N/A</v>
      </c>
      <c r="M23" s="248" t="e">
        <f>VLOOKUP(Tabulka9[[#This Row],[Sloupec1]],Tabulka591215273339455157636975[[Tým]:[Sloupec1]],4,FALSE)</f>
        <v>#N/A</v>
      </c>
      <c r="N23" s="248" t="e">
        <f>VLOOKUP(Tabulka9[[#This Row],[Sloupec1]],Tabulka59121527333945515763697581[[Tým]:[Sloupec1]],4,FALSE)</f>
        <v>#N/A</v>
      </c>
      <c r="O23" s="248" t="e">
        <f>VLOOKUP(Tabulka9[[#This Row],[Sloupec1]],Tabulka5912152733394551576369758187[[Tým]:[Sloupec1]],4,FALSE)</f>
        <v>#N/A</v>
      </c>
      <c r="P23" s="248" t="e">
        <f>VLOOKUP(Tabulka9[[#This Row],[Sloupec1]],Tabulka591215273339455157636975818793[[Tým]:[Sloupec1]],4,FALSE)</f>
        <v>#N/A</v>
      </c>
      <c r="Q23" s="250" t="e">
        <f>VLOOKUP(Tabulka9[[#This Row],[Sloupec1]],Tabulka59121527333945515763697581879399[[Tým]:[ ]],4,FALSE)</f>
        <v>#N/A</v>
      </c>
      <c r="R23" s="246"/>
    </row>
    <row r="24" spans="2:18" ht="21.75" thickBot="1" x14ac:dyDescent="0.4">
      <c r="B24" s="220" t="s">
        <v>13</v>
      </c>
      <c r="C24" s="202">
        <f>VLOOKUP(Tabulka9[[#This Row],[Sloupec1]],Tabulka59121521[[Tým]:[Sloupec1]],2,FALSE)</f>
        <v>16</v>
      </c>
      <c r="D24" s="197">
        <f>VLOOKUP(Tabulka9[[#This Row],[Sloupec1]],Tabulka591215[[Tým]:[Sloupec1]],4,FALSE)</f>
        <v>10</v>
      </c>
      <c r="E24" s="197">
        <f>VLOOKUP(Tabulka9[[#This Row],[Sloupec1]],Tabulka59121527[[Tým]:[Sloupec1]],4,FALSE)</f>
        <v>16</v>
      </c>
      <c r="F24" s="197">
        <f>VLOOKUP(Tabulka9[[#This Row],[Sloupec1]],Tabulka5912152733[[Tým]:[Sloupec1]],4,FALSE)</f>
        <v>12</v>
      </c>
      <c r="G24" s="197">
        <f>VLOOKUP(Tabulka9[[#This Row],[Sloupec1]],Tabulka591215273339[[Tým]:[Sloupec1]],4,FALSE)</f>
        <v>10</v>
      </c>
      <c r="H24" s="257">
        <f>VLOOKUP(Tabulka9[[#This Row],[Sloupec1]],Tabulka59121527333945[[Tým]:[Sloupec1]],4,FALSE)</f>
        <v>8</v>
      </c>
      <c r="I24" s="257">
        <f>VLOOKUP(Tabulka9[[#This Row],[Sloupec1]],Tabulka5912152733394551[[Tým]:[Sloupec1]],4,FALSE)</f>
        <v>13</v>
      </c>
      <c r="J24" s="249" t="e">
        <f>VLOOKUP(Tabulka9[[#This Row],[Sloupec1]],Tabulka591215273339455157[[Tým]:[Sloupec1]],4,FALSE)</f>
        <v>#N/A</v>
      </c>
      <c r="K24" s="249" t="e">
        <f>VLOOKUP(Tabulka9[[#This Row],[Sloupec1]],Tabulka59121527333945515763[[Tým]:[Sloupec1]],4,FALSE)</f>
        <v>#N/A</v>
      </c>
      <c r="L24" s="249" t="e">
        <f>VLOOKUP(Tabulka9[[#This Row],[Sloupec1]],Tabulka5912152733394551576369[[Tým]:[Sloupec1]],4,FALSE)</f>
        <v>#N/A</v>
      </c>
      <c r="M24" s="249" t="e">
        <f>VLOOKUP(Tabulka9[[#This Row],[Sloupec1]],Tabulka591215273339455157636975[[Tým]:[Sloupec1]],4,FALSE)</f>
        <v>#N/A</v>
      </c>
      <c r="N24" s="249" t="e">
        <f>VLOOKUP(Tabulka9[[#This Row],[Sloupec1]],Tabulka59121527333945515763697581[[Tým]:[Sloupec1]],4,FALSE)</f>
        <v>#N/A</v>
      </c>
      <c r="O24" s="249" t="e">
        <f>VLOOKUP(Tabulka9[[#This Row],[Sloupec1]],Tabulka5912152733394551576369758187[[Tým]:[Sloupec1]],4,FALSE)</f>
        <v>#N/A</v>
      </c>
      <c r="P24" s="249" t="e">
        <f>VLOOKUP(Tabulka9[[#This Row],[Sloupec1]],Tabulka591215273339455157636975818793[[Tým]:[Sloupec1]],4,FALSE)</f>
        <v>#N/A</v>
      </c>
      <c r="Q24" s="252" t="e">
        <f>VLOOKUP(Tabulka9[[#This Row],[Sloupec1]],Tabulka59121527333945515763697581879399[[Tým]:[ ]],4,FALSE)</f>
        <v>#N/A</v>
      </c>
      <c r="R24" s="246"/>
    </row>
    <row r="25" spans="2:18" x14ac:dyDescent="0.25"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</row>
    <row r="26" spans="2:18" x14ac:dyDescent="0.25"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</row>
    <row r="27" spans="2:18" ht="15.75" thickBot="1" x14ac:dyDescent="0.3"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</row>
    <row r="28" spans="2:18" ht="21.75" thickBot="1" x14ac:dyDescent="0.4">
      <c r="B28" s="290" t="s">
        <v>110</v>
      </c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2"/>
      <c r="R28" s="246"/>
    </row>
    <row r="29" spans="2:18" ht="21.75" thickBot="1" x14ac:dyDescent="0.4">
      <c r="B29" s="205"/>
      <c r="C29" s="206" t="str">
        <f>C3</f>
        <v>Píšť</v>
      </c>
      <c r="D29" s="207" t="str">
        <f t="shared" ref="D29" si="0">D3</f>
        <v>Svoboda</v>
      </c>
      <c r="E29" s="207" t="str">
        <f t="shared" ref="E29:Q29" si="1">E3</f>
        <v>Rohov</v>
      </c>
      <c r="F29" s="207" t="str">
        <f t="shared" si="1"/>
        <v>Markvartovice</v>
      </c>
      <c r="G29" s="207" t="str">
        <f t="shared" si="1"/>
        <v>Bělá</v>
      </c>
      <c r="H29" s="207" t="str">
        <f t="shared" si="1"/>
        <v>Závada</v>
      </c>
      <c r="I29" s="207" t="str">
        <f t="shared" si="1"/>
        <v>Bohuslavice</v>
      </c>
      <c r="J29" s="207" t="str">
        <f t="shared" si="1"/>
        <v>Kozmice</v>
      </c>
      <c r="K29" s="207" t="str">
        <f t="shared" si="1"/>
        <v>Štěpánkovice</v>
      </c>
      <c r="L29" s="207" t="str">
        <f t="shared" si="1"/>
        <v>Strahovice</v>
      </c>
      <c r="M29" s="207" t="str">
        <f t="shared" si="1"/>
        <v>Služovice</v>
      </c>
      <c r="N29" s="207" t="str">
        <f t="shared" si="1"/>
        <v>Vřesina</v>
      </c>
      <c r="O29" s="207" t="str">
        <f t="shared" si="1"/>
        <v/>
      </c>
      <c r="P29" s="207" t="str">
        <f t="shared" si="1"/>
        <v/>
      </c>
      <c r="Q29" s="208" t="str">
        <f t="shared" si="1"/>
        <v/>
      </c>
      <c r="R29" s="246"/>
    </row>
    <row r="30" spans="2:18" ht="21" hidden="1" x14ac:dyDescent="0.35">
      <c r="B30" s="212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4"/>
    </row>
    <row r="31" spans="2:18" ht="21" hidden="1" x14ac:dyDescent="0.35">
      <c r="B31" s="213" t="s">
        <v>73</v>
      </c>
      <c r="C31" s="195" t="s">
        <v>74</v>
      </c>
      <c r="D31" s="195" t="s">
        <v>75</v>
      </c>
      <c r="E31" s="195" t="s">
        <v>76</v>
      </c>
      <c r="F31" s="195" t="s">
        <v>77</v>
      </c>
      <c r="G31" s="195" t="s">
        <v>78</v>
      </c>
      <c r="H31" s="195" t="s">
        <v>79</v>
      </c>
      <c r="I31" s="195" t="s">
        <v>80</v>
      </c>
      <c r="J31" s="195" t="s">
        <v>81</v>
      </c>
      <c r="K31" s="195" t="s">
        <v>82</v>
      </c>
      <c r="L31" s="195" t="s">
        <v>83</v>
      </c>
      <c r="M31" s="195" t="s">
        <v>84</v>
      </c>
      <c r="N31" s="195" t="s">
        <v>85</v>
      </c>
      <c r="O31" s="195" t="s">
        <v>86</v>
      </c>
      <c r="P31" s="195" t="s">
        <v>87</v>
      </c>
      <c r="Q31" s="196" t="s">
        <v>88</v>
      </c>
    </row>
    <row r="32" spans="2:18" ht="21" x14ac:dyDescent="0.35">
      <c r="B32" s="209" t="s">
        <v>34</v>
      </c>
      <c r="C32" s="201">
        <f>VLOOKUP(Tabulka10[[#This Row],[Sloupec1]],Tabulka591215323[[Tým]:[Body]],2,FALSE)</f>
        <v>1</v>
      </c>
      <c r="D32" s="195">
        <f>VLOOKUP(Tabulka10[[#This Row],[Sloupec1]],Tabulka5912153[[Tým]:[Sloupec1]],4,FALSE)</f>
        <v>1</v>
      </c>
      <c r="E32" s="195">
        <f>VLOOKUP(Tabulka10[[#This Row],[Sloupec1]],Tabulka591215329[[Tým]:[Sloupec1]],4,FALSE)</f>
        <v>1</v>
      </c>
      <c r="F32" s="195">
        <f>VLOOKUP(Tabulka10[[#This Row],[Sloupec1]],Tabulka59121532935[[Tým]:[Sloupec1]],4,FALSE)</f>
        <v>1</v>
      </c>
      <c r="G32" s="195">
        <f>VLOOKUP(Tabulka10[[#This Row],[Sloupec1]],Tabulka5912153293541[[Tým]:[Sloupec1]],4,FALSE)</f>
        <v>2</v>
      </c>
      <c r="H32" s="256">
        <f>VLOOKUP(Tabulka10[[#This Row],[Sloupec1]],Tabulka59121532935414753[[Tým]:[Sloupec1]],4,FALSE)</f>
        <v>2</v>
      </c>
      <c r="I32" s="256">
        <f>VLOOKUP(Tabulka10[[#This Row],[Sloupec1]],Tabulka59121532935414753[[Tým]:[Sloupec1]],4,FALSE)</f>
        <v>2</v>
      </c>
      <c r="J32" s="248" t="e">
        <f>VLOOKUP(Tabulka10[[#This Row],[Sloupec1]],Tabulka5912153293541475359[[Tým]:[Sloupec1]],4,FALSE)</f>
        <v>#N/A</v>
      </c>
      <c r="K32" s="248" t="e">
        <f>VLOOKUP(Tabulka10[[#This Row],[Sloupec1]],Tabulka591215329354147535965[[Tým]:[Sloupec1]],4,FALSE)</f>
        <v>#N/A</v>
      </c>
      <c r="L32" s="248" t="e">
        <f>VLOOKUP(Tabulka10[[#This Row],[Sloupec1]],Tabulka59121532935414753596571[[Tým]:[Sloupec1]],4,FALSE)</f>
        <v>#N/A</v>
      </c>
      <c r="M32" s="248" t="e">
        <f>VLOOKUP(Tabulka10[[#This Row],[Sloupec1]],Tabulka5912153293541475359657177[[Tým]:[Sloupec1]],4,FALSE)</f>
        <v>#N/A</v>
      </c>
      <c r="N32" s="254" t="e">
        <f>VLOOKUP(Tabulka10[[#This Row],[Sloupec1]],Tabulka591215329354147535965717783[[Tým]:[Sloupec1]],4,FALSE)</f>
        <v>#N/A</v>
      </c>
      <c r="O32" s="248" t="e">
        <f>VLOOKUP(Tabulka10[[#This Row],[Sloupec1]],Tabulka59121532935414753596571778389[[Tým]:[Sloupec1]],4,FALSE)</f>
        <v>#N/A</v>
      </c>
      <c r="P32" s="248" t="e">
        <f>VLOOKUP(Tabulka10[[#This Row],[Sloupec1]],Tabulka5912153293541475359657177838995101[[Tým]:[ ]],4,FALSE)</f>
        <v>#N/A</v>
      </c>
      <c r="Q32" s="250" t="e">
        <f>VLOOKUP(Tabulka10[[#This Row],[Sloupec1]],Tabulka5912153293541475359657177838995101[[Tým]:[ ]],4,FALSE)</f>
        <v>#N/A</v>
      </c>
    </row>
    <row r="33" spans="2:18" ht="21" x14ac:dyDescent="0.35">
      <c r="B33" s="210" t="s">
        <v>35</v>
      </c>
      <c r="C33" s="201">
        <f>VLOOKUP(Tabulka10[[#This Row],[Sloupec1]],Tabulka591215323[[Tým]:[Body]],2,FALSE)</f>
        <v>2</v>
      </c>
      <c r="D33" s="195">
        <f>VLOOKUP(Tabulka10[[#This Row],[Sloupec1]],Tabulka5912153[[Tým]:[Sloupec1]],4,FALSE)</f>
        <v>3</v>
      </c>
      <c r="E33" s="195">
        <f>VLOOKUP(Tabulka10[[#This Row],[Sloupec1]],Tabulka591215329[[Tým]:[Sloupec1]],4,FALSE)</f>
        <v>3</v>
      </c>
      <c r="F33" s="195">
        <f>VLOOKUP(Tabulka10[[#This Row],[Sloupec1]],Tabulka59121532935[[Tým]:[Sloupec1]],4,FALSE)</f>
        <v>3</v>
      </c>
      <c r="G33" s="195">
        <f>VLOOKUP(Tabulka10[[#This Row],[Sloupec1]],Tabulka5912153293541[[Tým]:[Sloupec1]],4,FALSE)</f>
        <v>3</v>
      </c>
      <c r="H33" s="256">
        <f>VLOOKUP(Tabulka10[[#This Row],[Sloupec1]],Tabulka59121532935414753[[Tým]:[Sloupec1]],4,FALSE)</f>
        <v>3</v>
      </c>
      <c r="I33" s="256">
        <f>VLOOKUP(Tabulka10[[#This Row],[Sloupec1]],Tabulka59121532935414753[[Tým]:[Sloupec1]],4,FALSE)</f>
        <v>3</v>
      </c>
      <c r="J33" s="248" t="e">
        <f>VLOOKUP(Tabulka10[[#This Row],[Sloupec1]],Tabulka5912153293541475359[[Tým]:[Sloupec1]],4,FALSE)</f>
        <v>#N/A</v>
      </c>
      <c r="K33" s="248" t="e">
        <f>VLOOKUP(Tabulka10[[#This Row],[Sloupec1]],Tabulka591215329354147535965[[Tým]:[Sloupec1]],4,FALSE)</f>
        <v>#N/A</v>
      </c>
      <c r="L33" s="248" t="e">
        <f>VLOOKUP(Tabulka10[[#This Row],[Sloupec1]],Tabulka59121532935414753596571[[Tým]:[Sloupec1]],4,FALSE)</f>
        <v>#N/A</v>
      </c>
      <c r="M33" s="248" t="e">
        <f>VLOOKUP(Tabulka10[[#This Row],[Sloupec1]],Tabulka5912153293541475359657177[[Tým]:[Sloupec1]],4,FALSE)</f>
        <v>#N/A</v>
      </c>
      <c r="N33" s="248" t="e">
        <f>VLOOKUP(Tabulka10[[#This Row],[Sloupec1]],Tabulka591215329354147535965717783[[Tým]:[Sloupec1]],4,FALSE)</f>
        <v>#N/A</v>
      </c>
      <c r="O33" s="248" t="e">
        <f>VLOOKUP(Tabulka10[[#This Row],[Sloupec1]],Tabulka59121532935414753596571778389[[Tým]:[Sloupec1]],4,FALSE)</f>
        <v>#N/A</v>
      </c>
      <c r="P33" s="248" t="e">
        <f>VLOOKUP(Tabulka10[[#This Row],[Sloupec1]],Tabulka5912153293541475359657177838995101[[Tým]:[ ]],4,FALSE)</f>
        <v>#N/A</v>
      </c>
      <c r="Q33" s="250" t="e">
        <f>VLOOKUP(Tabulka10[[#This Row],[Sloupec1]],Tabulka5912153293541475359657177838995101[[Tým]:[ ]],4,FALSE)</f>
        <v>#N/A</v>
      </c>
      <c r="R33" s="246"/>
    </row>
    <row r="34" spans="2:18" ht="21" x14ac:dyDescent="0.35">
      <c r="B34" s="210" t="s">
        <v>22</v>
      </c>
      <c r="C34" s="201">
        <f>VLOOKUP(Tabulka10[[#This Row],[Sloupec1]],Tabulka591215323[[Tým]:[Body]],2,FALSE)</f>
        <v>3</v>
      </c>
      <c r="D34" s="195">
        <f>VLOOKUP(Tabulka10[[#This Row],[Sloupec1]],Tabulka5912153[[Tým]:[Sloupec1]],4,FALSE)</f>
        <v>2</v>
      </c>
      <c r="E34" s="195">
        <f>VLOOKUP(Tabulka10[[#This Row],[Sloupec1]],Tabulka591215329[[Tým]:[Sloupec1]],4,FALSE)</f>
        <v>2</v>
      </c>
      <c r="F34" s="195">
        <f>VLOOKUP(Tabulka10[[#This Row],[Sloupec1]],Tabulka59121532935[[Tým]:[Sloupec1]],4,FALSE)</f>
        <v>1</v>
      </c>
      <c r="G34" s="195">
        <f>VLOOKUP(Tabulka10[[#This Row],[Sloupec1]],Tabulka5912153293541[[Tým]:[Sloupec1]],4,FALSE)</f>
        <v>1</v>
      </c>
      <c r="H34" s="256">
        <f>VLOOKUP(Tabulka10[[#This Row],[Sloupec1]],Tabulka59121532935414753[[Tým]:[Sloupec1]],4,FALSE)</f>
        <v>1</v>
      </c>
      <c r="I34" s="256">
        <f>VLOOKUP(Tabulka10[[#This Row],[Sloupec1]],Tabulka59121532935414753[[Tým]:[Sloupec1]],4,FALSE)</f>
        <v>1</v>
      </c>
      <c r="J34" s="248" t="e">
        <f>VLOOKUP(Tabulka10[[#This Row],[Sloupec1]],Tabulka5912153293541475359[[Tým]:[Sloupec1]],4,FALSE)</f>
        <v>#N/A</v>
      </c>
      <c r="K34" s="248" t="e">
        <f>VLOOKUP(Tabulka10[[#This Row],[Sloupec1]],Tabulka591215329354147535965[[Tým]:[Sloupec1]],4,FALSE)</f>
        <v>#N/A</v>
      </c>
      <c r="L34" s="248" t="e">
        <f>VLOOKUP(Tabulka10[[#This Row],[Sloupec1]],Tabulka59121532935414753596571[[Tým]:[Sloupec1]],4,FALSE)</f>
        <v>#N/A</v>
      </c>
      <c r="M34" s="248" t="e">
        <f>VLOOKUP(Tabulka10[[#This Row],[Sloupec1]],Tabulka5912153293541475359657177[[Tým]:[Sloupec1]],4,FALSE)</f>
        <v>#N/A</v>
      </c>
      <c r="N34" s="248" t="e">
        <f>VLOOKUP(Tabulka10[[#This Row],[Sloupec1]],Tabulka591215329354147535965717783[[Tým]:[Sloupec1]],4,FALSE)</f>
        <v>#N/A</v>
      </c>
      <c r="O34" s="248" t="e">
        <f>VLOOKUP(Tabulka10[[#This Row],[Sloupec1]],Tabulka59121532935414753596571778389[[Tým]:[Sloupec1]],4,FALSE)</f>
        <v>#N/A</v>
      </c>
      <c r="P34" s="248" t="e">
        <f>VLOOKUP(Tabulka10[[#This Row],[Sloupec1]],Tabulka5912153293541475359657177838995101[[Tým]:[ ]],4,FALSE)</f>
        <v>#N/A</v>
      </c>
      <c r="Q34" s="250" t="e">
        <f>VLOOKUP(Tabulka10[[#This Row],[Sloupec1]],Tabulka5912153293541475359657177838995101[[Tým]:[ ]],4,FALSE)</f>
        <v>#N/A</v>
      </c>
      <c r="R34" s="246"/>
    </row>
    <row r="35" spans="2:18" ht="21" x14ac:dyDescent="0.35">
      <c r="B35" s="210" t="s">
        <v>21</v>
      </c>
      <c r="C35" s="201">
        <f>VLOOKUP(Tabulka10[[#This Row],[Sloupec1]],Tabulka591215323[[Tým]:[Body]],2,FALSE)</f>
        <v>4</v>
      </c>
      <c r="D35" s="195">
        <f>VLOOKUP(Tabulka10[[#This Row],[Sloupec1]],Tabulka5912153[[Tým]:[Sloupec1]],4,FALSE)</f>
        <v>4</v>
      </c>
      <c r="E35" s="195">
        <f>VLOOKUP(Tabulka10[[#This Row],[Sloupec1]],Tabulka591215329[[Tým]:[Sloupec1]],4,FALSE)</f>
        <v>4</v>
      </c>
      <c r="F35" s="195">
        <f>VLOOKUP(Tabulka10[[#This Row],[Sloupec1]],Tabulka59121532935[[Tým]:[Sloupec1]],4,FALSE)</f>
        <v>5</v>
      </c>
      <c r="G35" s="195">
        <f>VLOOKUP(Tabulka10[[#This Row],[Sloupec1]],Tabulka5912153293541[[Tým]:[Sloupec1]],4,FALSE)</f>
        <v>5</v>
      </c>
      <c r="H35" s="256">
        <f>VLOOKUP(Tabulka10[[#This Row],[Sloupec1]],Tabulka59121532935414753[[Tým]:[Sloupec1]],4,FALSE)</f>
        <v>6</v>
      </c>
      <c r="I35" s="256">
        <f>VLOOKUP(Tabulka10[[#This Row],[Sloupec1]],Tabulka59121532935414753[[Tým]:[Sloupec1]],4,FALSE)</f>
        <v>6</v>
      </c>
      <c r="J35" s="248" t="e">
        <f>VLOOKUP(Tabulka10[[#This Row],[Sloupec1]],Tabulka5912153293541475359[[Tým]:[Sloupec1]],4,FALSE)</f>
        <v>#N/A</v>
      </c>
      <c r="K35" s="248" t="e">
        <f>VLOOKUP(Tabulka10[[#This Row],[Sloupec1]],Tabulka591215329354147535965[[Tým]:[Sloupec1]],4,FALSE)</f>
        <v>#N/A</v>
      </c>
      <c r="L35" s="248" t="e">
        <f>VLOOKUP(Tabulka10[[#This Row],[Sloupec1]],Tabulka59121532935414753596571[[Tým]:[Sloupec1]],4,FALSE)</f>
        <v>#N/A</v>
      </c>
      <c r="M35" s="248" t="e">
        <f>VLOOKUP(Tabulka10[[#This Row],[Sloupec1]],Tabulka5912153293541475359657177[[Tým]:[Sloupec1]],4,FALSE)</f>
        <v>#N/A</v>
      </c>
      <c r="N35" s="248" t="e">
        <f>VLOOKUP(Tabulka10[[#This Row],[Sloupec1]],Tabulka591215329354147535965717783[[Tým]:[Sloupec1]],4,FALSE)</f>
        <v>#N/A</v>
      </c>
      <c r="O35" s="248" t="e">
        <f>VLOOKUP(Tabulka10[[#This Row],[Sloupec1]],Tabulka59121532935414753596571778389[[Tým]:[Sloupec1]],4,FALSE)</f>
        <v>#N/A</v>
      </c>
      <c r="P35" s="248" t="e">
        <f>VLOOKUP(Tabulka10[[#This Row],[Sloupec1]],Tabulka5912153293541475359657177838995101[[Tým]:[ ]],4,FALSE)</f>
        <v>#N/A</v>
      </c>
      <c r="Q35" s="250" t="e">
        <f>VLOOKUP(Tabulka10[[#This Row],[Sloupec1]],Tabulka5912153293541475359657177838995101[[Tým]:[ ]],4,FALSE)</f>
        <v>#N/A</v>
      </c>
      <c r="R35" s="246"/>
    </row>
    <row r="36" spans="2:18" ht="21" x14ac:dyDescent="0.35">
      <c r="B36" s="210" t="s">
        <v>23</v>
      </c>
      <c r="C36" s="201">
        <f>VLOOKUP(Tabulka10[[#This Row],[Sloupec1]],Tabulka591215323[[Tým]:[Body]],2,FALSE)</f>
        <v>5</v>
      </c>
      <c r="D36" s="195">
        <f>VLOOKUP(Tabulka10[[#This Row],[Sloupec1]],Tabulka5912153[[Tým]:[Sloupec1]],4,FALSE)</f>
        <v>5</v>
      </c>
      <c r="E36" s="195">
        <f>VLOOKUP(Tabulka10[[#This Row],[Sloupec1]],Tabulka591215329[[Tým]:[Sloupec1]],4,FALSE)</f>
        <v>8</v>
      </c>
      <c r="F36" s="195">
        <f>VLOOKUP(Tabulka10[[#This Row],[Sloupec1]],Tabulka59121532935[[Tým]:[Sloupec1]],4,FALSE)</f>
        <v>7</v>
      </c>
      <c r="G36" s="195">
        <f>VLOOKUP(Tabulka10[[#This Row],[Sloupec1]],Tabulka5912153293541[[Tým]:[Sloupec1]],4,FALSE)</f>
        <v>6</v>
      </c>
      <c r="H36" s="256">
        <f>VLOOKUP(Tabulka10[[#This Row],[Sloupec1]],Tabulka59121532935414753[[Tým]:[Sloupec1]],4,FALSE)</f>
        <v>5</v>
      </c>
      <c r="I36" s="256">
        <f>VLOOKUP(Tabulka10[[#This Row],[Sloupec1]],Tabulka59121532935414753[[Tým]:[Sloupec1]],4,FALSE)</f>
        <v>5</v>
      </c>
      <c r="J36" s="248" t="e">
        <f>VLOOKUP(Tabulka10[[#This Row],[Sloupec1]],Tabulka5912153293541475359[[Tým]:[Sloupec1]],4,FALSE)</f>
        <v>#N/A</v>
      </c>
      <c r="K36" s="248" t="e">
        <f>VLOOKUP(Tabulka10[[#This Row],[Sloupec1]],Tabulka591215329354147535965[[Tým]:[Sloupec1]],4,FALSE)</f>
        <v>#N/A</v>
      </c>
      <c r="L36" s="248" t="e">
        <f>VLOOKUP(Tabulka10[[#This Row],[Sloupec1]],Tabulka59121532935414753596571[[Tým]:[Sloupec1]],4,FALSE)</f>
        <v>#N/A</v>
      </c>
      <c r="M36" s="248" t="e">
        <f>VLOOKUP(Tabulka10[[#This Row],[Sloupec1]],Tabulka5912153293541475359657177[[Tým]:[Sloupec1]],4,FALSE)</f>
        <v>#N/A</v>
      </c>
      <c r="N36" s="248" t="e">
        <f>VLOOKUP(Tabulka10[[#This Row],[Sloupec1]],Tabulka591215329354147535965717783[[Tým]:[Sloupec1]],4,FALSE)</f>
        <v>#N/A</v>
      </c>
      <c r="O36" s="248" t="e">
        <f>VLOOKUP(Tabulka10[[#This Row],[Sloupec1]],Tabulka59121532935414753596571778389[[Tým]:[Sloupec1]],4,FALSE)</f>
        <v>#N/A</v>
      </c>
      <c r="P36" s="248" t="e">
        <f>VLOOKUP(Tabulka10[[#This Row],[Sloupec1]],Tabulka5912153293541475359657177838995101[[Tým]:[ ]],4,FALSE)</f>
        <v>#N/A</v>
      </c>
      <c r="Q36" s="250" t="e">
        <f>VLOOKUP(Tabulka10[[#This Row],[Sloupec1]],Tabulka5912153293541475359657177838995101[[Tým]:[ ]],4,FALSE)</f>
        <v>#N/A</v>
      </c>
      <c r="R36" s="246"/>
    </row>
    <row r="37" spans="2:18" ht="21" x14ac:dyDescent="0.35">
      <c r="B37" s="210" t="s">
        <v>19</v>
      </c>
      <c r="C37" s="201">
        <f>VLOOKUP(Tabulka10[[#This Row],[Sloupec1]],Tabulka591215323[[Tým]:[Body]],2,FALSE)</f>
        <v>6</v>
      </c>
      <c r="D37" s="195">
        <f>VLOOKUP(Tabulka10[[#This Row],[Sloupec1]],Tabulka5912153[[Tým]:[Sloupec1]],4,FALSE)</f>
        <v>5</v>
      </c>
      <c r="E37" s="195">
        <f>VLOOKUP(Tabulka10[[#This Row],[Sloupec1]],Tabulka591215329[[Tým]:[Sloupec1]],4,FALSE)</f>
        <v>5</v>
      </c>
      <c r="F37" s="195">
        <f>VLOOKUP(Tabulka10[[#This Row],[Sloupec1]],Tabulka59121532935[[Tým]:[Sloupec1]],4,FALSE)</f>
        <v>4</v>
      </c>
      <c r="G37" s="195">
        <f>VLOOKUP(Tabulka10[[#This Row],[Sloupec1]],Tabulka5912153293541[[Tým]:[Sloupec1]],4,FALSE)</f>
        <v>4</v>
      </c>
      <c r="H37" s="256">
        <f>VLOOKUP(Tabulka10[[#This Row],[Sloupec1]],Tabulka59121532935414753[[Tým]:[Sloupec1]],4,FALSE)</f>
        <v>4</v>
      </c>
      <c r="I37" s="256">
        <f>VLOOKUP(Tabulka10[[#This Row],[Sloupec1]],Tabulka59121532935414753[[Tým]:[Sloupec1]],4,FALSE)</f>
        <v>4</v>
      </c>
      <c r="J37" s="248" t="e">
        <f>VLOOKUP(Tabulka10[[#This Row],[Sloupec1]],Tabulka5912153293541475359[[Tým]:[Sloupec1]],4,FALSE)</f>
        <v>#N/A</v>
      </c>
      <c r="K37" s="248" t="e">
        <f>VLOOKUP(Tabulka10[[#This Row],[Sloupec1]],Tabulka591215329354147535965[[Tým]:[Sloupec1]],4,FALSE)</f>
        <v>#N/A</v>
      </c>
      <c r="L37" s="248" t="e">
        <f>VLOOKUP(Tabulka10[[#This Row],[Sloupec1]],Tabulka59121532935414753596571[[Tým]:[Sloupec1]],4,FALSE)</f>
        <v>#N/A</v>
      </c>
      <c r="M37" s="248" t="e">
        <f>VLOOKUP(Tabulka10[[#This Row],[Sloupec1]],Tabulka5912153293541475359657177[[Tým]:[Sloupec1]],4,FALSE)</f>
        <v>#N/A</v>
      </c>
      <c r="N37" s="248" t="e">
        <f>VLOOKUP(Tabulka10[[#This Row],[Sloupec1]],Tabulka591215329354147535965717783[[Tým]:[Sloupec1]],4,FALSE)</f>
        <v>#N/A</v>
      </c>
      <c r="O37" s="253" t="e">
        <f>VLOOKUP(Tabulka10[[#This Row],[Sloupec1]],Tabulka59121532935414753596571778389[[Tým]:[Sloupec1]],4,FALSE)</f>
        <v>#N/A</v>
      </c>
      <c r="P37" s="248" t="e">
        <f>VLOOKUP(Tabulka10[[#This Row],[Sloupec1]],Tabulka5912153293541475359657177838995101[[Tým]:[ ]],4,FALSE)</f>
        <v>#N/A</v>
      </c>
      <c r="Q37" s="250" t="e">
        <f>VLOOKUP(Tabulka10[[#This Row],[Sloupec1]],Tabulka5912153293541475359657177838995101[[Tým]:[ ]],4,FALSE)</f>
        <v>#N/A</v>
      </c>
      <c r="R37" s="246"/>
    </row>
    <row r="38" spans="2:18" ht="21" x14ac:dyDescent="0.35">
      <c r="B38" s="210" t="s">
        <v>15</v>
      </c>
      <c r="C38" s="201">
        <f>VLOOKUP(Tabulka10[[#This Row],[Sloupec1]],Tabulka591215323[[Tým]:[Body]],2,FALSE)</f>
        <v>7</v>
      </c>
      <c r="D38" s="195">
        <f>VLOOKUP(Tabulka10[[#This Row],[Sloupec1]],Tabulka5912153[[Tým]:[Sloupec1]],4,FALSE)</f>
        <v>5</v>
      </c>
      <c r="E38" s="195">
        <f>VLOOKUP(Tabulka10[[#This Row],[Sloupec1]],Tabulka591215329[[Tým]:[Sloupec1]],4,FALSE)</f>
        <v>6</v>
      </c>
      <c r="F38" s="195">
        <f>VLOOKUP(Tabulka10[[#This Row],[Sloupec1]],Tabulka59121532935[[Tým]:[Sloupec1]],4,FALSE)</f>
        <v>8</v>
      </c>
      <c r="G38" s="195">
        <f>VLOOKUP(Tabulka10[[#This Row],[Sloupec1]],Tabulka5912153293541[[Tým]:[Sloupec1]],4,FALSE)</f>
        <v>7</v>
      </c>
      <c r="H38" s="256">
        <f>VLOOKUP(Tabulka10[[#This Row],[Sloupec1]],Tabulka59121532935414753[[Tým]:[Sloupec1]],4,FALSE)</f>
        <v>9</v>
      </c>
      <c r="I38" s="256">
        <f>VLOOKUP(Tabulka10[[#This Row],[Sloupec1]],Tabulka59121532935414753[[Tým]:[Sloupec1]],4,FALSE)</f>
        <v>9</v>
      </c>
      <c r="J38" s="248" t="e">
        <f>VLOOKUP(Tabulka10[[#This Row],[Sloupec1]],Tabulka5912153293541475359[[Tým]:[Sloupec1]],4,FALSE)</f>
        <v>#N/A</v>
      </c>
      <c r="K38" s="248" t="e">
        <f>VLOOKUP(Tabulka10[[#This Row],[Sloupec1]],Tabulka591215329354147535965[[Tým]:[Sloupec1]],4,FALSE)</f>
        <v>#N/A</v>
      </c>
      <c r="L38" s="248" t="e">
        <f>VLOOKUP(Tabulka10[[#This Row],[Sloupec1]],Tabulka59121532935414753596571[[Tým]:[Sloupec1]],4,FALSE)</f>
        <v>#N/A</v>
      </c>
      <c r="M38" s="248" t="e">
        <f>VLOOKUP(Tabulka10[[#This Row],[Sloupec1]],Tabulka5912153293541475359657177[[Tým]:[Sloupec1]],4,FALSE)</f>
        <v>#N/A</v>
      </c>
      <c r="N38" s="248" t="e">
        <f>VLOOKUP(Tabulka10[[#This Row],[Sloupec1]],Tabulka591215329354147535965717783[[Tým]:[Sloupec1]],4,FALSE)</f>
        <v>#N/A</v>
      </c>
      <c r="O38" s="248" t="e">
        <f>VLOOKUP(Tabulka10[[#This Row],[Sloupec1]],Tabulka59121532935414753596571778389[[Tým]:[Sloupec1]],4,FALSE)</f>
        <v>#N/A</v>
      </c>
      <c r="P38" s="248" t="e">
        <f>VLOOKUP(Tabulka10[[#This Row],[Sloupec1]],Tabulka5912153293541475359657177838995101[[Tým]:[ ]],4,FALSE)</f>
        <v>#N/A</v>
      </c>
      <c r="Q38" s="250" t="e">
        <f>VLOOKUP(Tabulka10[[#This Row],[Sloupec1]],Tabulka5912153293541475359657177838995101[[Tým]:[ ]],4,FALSE)</f>
        <v>#N/A</v>
      </c>
      <c r="R38" s="246"/>
    </row>
    <row r="39" spans="2:18" ht="21" x14ac:dyDescent="0.35">
      <c r="B39" s="210" t="s">
        <v>16</v>
      </c>
      <c r="C39" s="201">
        <f>VLOOKUP(Tabulka10[[#This Row],[Sloupec1]],Tabulka591215323[[Tým]:[Body]],2,FALSE)</f>
        <v>8</v>
      </c>
      <c r="D39" s="195">
        <f>VLOOKUP(Tabulka10[[#This Row],[Sloupec1]],Tabulka5912153[[Tým]:[Sloupec1]],4,FALSE)</f>
        <v>10</v>
      </c>
      <c r="E39" s="195">
        <f>VLOOKUP(Tabulka10[[#This Row],[Sloupec1]],Tabulka591215329[[Tým]:[Sloupec1]],4,FALSE)</f>
        <v>9</v>
      </c>
      <c r="F39" s="195">
        <f>VLOOKUP(Tabulka10[[#This Row],[Sloupec1]],Tabulka59121532935[[Tým]:[Sloupec1]],4,FALSE)</f>
        <v>9</v>
      </c>
      <c r="G39" s="195">
        <f>VLOOKUP(Tabulka10[[#This Row],[Sloupec1]],Tabulka5912153293541[[Tým]:[Sloupec1]],4,FALSE)</f>
        <v>9</v>
      </c>
      <c r="H39" s="256">
        <f>VLOOKUP(Tabulka10[[#This Row],[Sloupec1]],Tabulka59121532935414753[[Tým]:[Sloupec1]],4,FALSE)</f>
        <v>8</v>
      </c>
      <c r="I39" s="256">
        <f>VLOOKUP(Tabulka10[[#This Row],[Sloupec1]],Tabulka59121532935414753[[Tým]:[Sloupec1]],4,FALSE)</f>
        <v>8</v>
      </c>
      <c r="J39" s="248" t="e">
        <f>VLOOKUP(Tabulka10[[#This Row],[Sloupec1]],Tabulka5912153293541475359[[Tým]:[Sloupec1]],4,FALSE)</f>
        <v>#N/A</v>
      </c>
      <c r="K39" s="248" t="e">
        <f>VLOOKUP(Tabulka10[[#This Row],[Sloupec1]],Tabulka591215329354147535965[[Tým]:[Sloupec1]],4,FALSE)</f>
        <v>#N/A</v>
      </c>
      <c r="L39" s="248" t="e">
        <f>VLOOKUP(Tabulka10[[#This Row],[Sloupec1]],Tabulka59121532935414753596571[[Tým]:[Sloupec1]],4,FALSE)</f>
        <v>#N/A</v>
      </c>
      <c r="M39" s="248" t="e">
        <f>VLOOKUP(Tabulka10[[#This Row],[Sloupec1]],Tabulka5912153293541475359657177[[Tým]:[Sloupec1]],4,FALSE)</f>
        <v>#N/A</v>
      </c>
      <c r="N39" s="248" t="e">
        <f>VLOOKUP(Tabulka10[[#This Row],[Sloupec1]],Tabulka591215329354147535965717783[[Tým]:[Sloupec1]],4,FALSE)</f>
        <v>#N/A</v>
      </c>
      <c r="O39" s="248" t="e">
        <f>VLOOKUP(Tabulka10[[#This Row],[Sloupec1]],Tabulka59121532935414753596571778389[[Tým]:[Sloupec1]],4,FALSE)</f>
        <v>#N/A</v>
      </c>
      <c r="P39" s="248" t="e">
        <f>VLOOKUP(Tabulka10[[#This Row],[Sloupec1]],Tabulka5912153293541475359657177838995101[[Tým]:[ ]],4,FALSE)</f>
        <v>#N/A</v>
      </c>
      <c r="Q39" s="250" t="e">
        <f>VLOOKUP(Tabulka10[[#This Row],[Sloupec1]],Tabulka5912153293541475359657177838995101[[Tým]:[ ]],4,FALSE)</f>
        <v>#N/A</v>
      </c>
      <c r="R39" s="246"/>
    </row>
    <row r="40" spans="2:18" ht="21" x14ac:dyDescent="0.35">
      <c r="B40" s="210" t="s">
        <v>24</v>
      </c>
      <c r="C40" s="201">
        <f>VLOOKUP(Tabulka10[[#This Row],[Sloupec1]],Tabulka591215323[[Tým]:[Body]],2,FALSE)</f>
        <v>8</v>
      </c>
      <c r="D40" s="195">
        <f>VLOOKUP(Tabulka10[[#This Row],[Sloupec1]],Tabulka5912153[[Tým]:[Sloupec1]],4,FALSE)</f>
        <v>9</v>
      </c>
      <c r="E40" s="195">
        <f>VLOOKUP(Tabulka10[[#This Row],[Sloupec1]],Tabulka591215329[[Tým]:[Sloupec1]],4,FALSE)</f>
        <v>10</v>
      </c>
      <c r="F40" s="195">
        <f>VLOOKUP(Tabulka10[[#This Row],[Sloupec1]],Tabulka59121532935[[Tým]:[Sloupec1]],4,FALSE)</f>
        <v>10</v>
      </c>
      <c r="G40" s="195">
        <f>VLOOKUP(Tabulka10[[#This Row],[Sloupec1]],Tabulka5912153293541[[Tým]:[Sloupec1]],4,FALSE)</f>
        <v>10</v>
      </c>
      <c r="H40" s="256">
        <f>VLOOKUP(Tabulka10[[#This Row],[Sloupec1]],Tabulka59121532935414753[[Tým]:[Sloupec1]],4,FALSE)</f>
        <v>10</v>
      </c>
      <c r="I40" s="256">
        <f>VLOOKUP(Tabulka10[[#This Row],[Sloupec1]],Tabulka59121532935414753[[Tým]:[Sloupec1]],4,FALSE)</f>
        <v>10</v>
      </c>
      <c r="J40" s="248" t="e">
        <f>VLOOKUP(Tabulka10[[#This Row],[Sloupec1]],Tabulka5912153293541475359[[Tým]:[Sloupec1]],4,FALSE)</f>
        <v>#N/A</v>
      </c>
      <c r="K40" s="248" t="e">
        <f>VLOOKUP(Tabulka10[[#This Row],[Sloupec1]],Tabulka591215329354147535965[[Tým]:[Sloupec1]],4,FALSE)</f>
        <v>#N/A</v>
      </c>
      <c r="L40" s="248" t="e">
        <f>VLOOKUP(Tabulka10[[#This Row],[Sloupec1]],Tabulka59121532935414753596571[[Tým]:[Sloupec1]],4,FALSE)</f>
        <v>#N/A</v>
      </c>
      <c r="M40" s="248" t="e">
        <f>VLOOKUP(Tabulka10[[#This Row],[Sloupec1]],Tabulka5912153293541475359657177[[Tým]:[Sloupec1]],4,FALSE)</f>
        <v>#N/A</v>
      </c>
      <c r="N40" s="248" t="e">
        <f>VLOOKUP(Tabulka10[[#This Row],[Sloupec1]],Tabulka591215329354147535965717783[[Tým]:[Sloupec1]],4,FALSE)</f>
        <v>#N/A</v>
      </c>
      <c r="O40" s="248" t="e">
        <f>VLOOKUP(Tabulka10[[#This Row],[Sloupec1]],Tabulka59121532935414753596571778389[[Tým]:[Sloupec1]],4,FALSE)</f>
        <v>#N/A</v>
      </c>
      <c r="P40" s="248" t="e">
        <f>VLOOKUP(Tabulka10[[#This Row],[Sloupec1]],Tabulka5912153293541475359657177838995101[[Tým]:[ ]],4,FALSE)</f>
        <v>#N/A</v>
      </c>
      <c r="Q40" s="250" t="e">
        <f>VLOOKUP(Tabulka10[[#This Row],[Sloupec1]],Tabulka5912153293541475359657177838995101[[Tým]:[ ]],4,FALSE)</f>
        <v>#N/A</v>
      </c>
      <c r="R40" s="246"/>
    </row>
    <row r="41" spans="2:18" ht="21.75" thickBot="1" x14ac:dyDescent="0.4">
      <c r="B41" s="211" t="s">
        <v>36</v>
      </c>
      <c r="C41" s="202">
        <f>VLOOKUP(Tabulka10[[#This Row],[Sloupec1]],Tabulka591215323[[Tým]:[Body]],2,FALSE)</f>
        <v>8</v>
      </c>
      <c r="D41" s="197">
        <f>VLOOKUP(Tabulka10[[#This Row],[Sloupec1]],Tabulka5912153[[Tým]:[Sloupec1]],4,FALSE)</f>
        <v>8</v>
      </c>
      <c r="E41" s="197">
        <f>VLOOKUP(Tabulka10[[#This Row],[Sloupec1]],Tabulka591215329[[Tým]:[Sloupec1]],4,FALSE)</f>
        <v>7</v>
      </c>
      <c r="F41" s="197">
        <f>VLOOKUP(Tabulka10[[#This Row],[Sloupec1]],Tabulka59121532935[[Tým]:[Sloupec1]],4,FALSE)</f>
        <v>6</v>
      </c>
      <c r="G41" s="197">
        <f>VLOOKUP(Tabulka10[[#This Row],[Sloupec1]],Tabulka5912153293541[[Tým]:[Sloupec1]],4,FALSE)</f>
        <v>8</v>
      </c>
      <c r="H41" s="257">
        <f>VLOOKUP(Tabulka10[[#This Row],[Sloupec1]],Tabulka59121532935414753[[Tým]:[Sloupec1]],4,FALSE)</f>
        <v>6</v>
      </c>
      <c r="I41" s="257">
        <f>VLOOKUP(Tabulka10[[#This Row],[Sloupec1]],Tabulka59121532935414753[[Tým]:[Sloupec1]],4,FALSE)</f>
        <v>6</v>
      </c>
      <c r="J41" s="249" t="e">
        <f>VLOOKUP(Tabulka10[[#This Row],[Sloupec1]],Tabulka5912153293541475359[[Tým]:[Sloupec1]],4,FALSE)</f>
        <v>#N/A</v>
      </c>
      <c r="K41" s="249" t="e">
        <f>VLOOKUP(Tabulka10[[#This Row],[Sloupec1]],Tabulka591215329354147535965[[Tým]:[Sloupec1]],4,FALSE)</f>
        <v>#N/A</v>
      </c>
      <c r="L41" s="249" t="e">
        <f>VLOOKUP(Tabulka10[[#This Row],[Sloupec1]],Tabulka59121532935414753596571[[Tým]:[Sloupec1]],4,FALSE)</f>
        <v>#N/A</v>
      </c>
      <c r="M41" s="249" t="e">
        <f>VLOOKUP(Tabulka10[[#This Row],[Sloupec1]],Tabulka5912153293541475359657177[[Tým]:[Sloupec1]],4,FALSE)</f>
        <v>#N/A</v>
      </c>
      <c r="N41" s="249" t="e">
        <f>VLOOKUP(Tabulka10[[#This Row],[Sloupec1]],Tabulka591215329354147535965717783[[Tým]:[Sloupec1]],4,FALSE)</f>
        <v>#N/A</v>
      </c>
      <c r="O41" s="249" t="e">
        <f>VLOOKUP(Tabulka10[[#This Row],[Sloupec1]],Tabulka59121532935414753596571778389[[Tým]:[Sloupec1]],4,FALSE)</f>
        <v>#N/A</v>
      </c>
      <c r="P41" s="249" t="e">
        <f>VLOOKUP(Tabulka10[[#This Row],[Sloupec1]],Tabulka5912153293541475359657177838995101[[Tým]:[ ]],4,FALSE)</f>
        <v>#N/A</v>
      </c>
      <c r="Q41" s="252" t="e">
        <f>VLOOKUP(Tabulka10[[#This Row],[Sloupec1]],Tabulka5912153293541475359657177838995101[[Tým]:[ ]],4,FALSE)</f>
        <v>#N/A</v>
      </c>
      <c r="R41" s="246"/>
    </row>
    <row r="49" spans="2:19" ht="15.75" thickBot="1" x14ac:dyDescent="0.3"/>
    <row r="50" spans="2:19" ht="21.75" thickBot="1" x14ac:dyDescent="0.4">
      <c r="B50" s="296" t="s">
        <v>120</v>
      </c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8"/>
    </row>
    <row r="51" spans="2:19" ht="21.75" thickBot="1" x14ac:dyDescent="0.4">
      <c r="B51" s="214"/>
      <c r="C51" s="221" t="str">
        <f>IF(Uvod!$C$3="","",Uvod!$C$3)</f>
        <v>Píšť</v>
      </c>
      <c r="D51" s="222" t="str">
        <f>IF(Uvod!$C$4="","",Uvod!$C$4)</f>
        <v>Svoboda</v>
      </c>
      <c r="E51" s="222" t="str">
        <f>IF(Uvod!$C$5="","",Uvod!$C$5)</f>
        <v>Rohov</v>
      </c>
      <c r="F51" s="222" t="str">
        <f>IF(Uvod!$C$6="","",Uvod!$C$6)</f>
        <v>Markvartovice</v>
      </c>
      <c r="G51" s="222" t="str">
        <f>IF(Uvod!$C$7="","",Uvod!$C$7)</f>
        <v>Bělá</v>
      </c>
      <c r="H51" s="222" t="str">
        <f>IF(Uvod!$C$8="","",Uvod!$C$8)</f>
        <v>Závada</v>
      </c>
      <c r="I51" s="222" t="str">
        <f>IF(Uvod!$C$9="","",Uvod!$C$9)</f>
        <v>Bohuslavice</v>
      </c>
      <c r="J51" s="222" t="str">
        <f>IF(Uvod!$C$10="","",Uvod!$C$10)</f>
        <v>Kozmice</v>
      </c>
      <c r="K51" s="222" t="str">
        <f>IF(Uvod!$C$11="","",Uvod!$C$11)</f>
        <v>Štěpánkovice</v>
      </c>
      <c r="L51" s="222" t="str">
        <f>IF(Uvod!$C$12="","",Uvod!$C$12)</f>
        <v>Strahovice</v>
      </c>
      <c r="M51" s="222" t="str">
        <f>IF(Uvod!$C$13="","",Uvod!$C$13)</f>
        <v>Služovice</v>
      </c>
      <c r="N51" s="222" t="str">
        <f>IF(Uvod!$C$14="","",Uvod!$C$14)</f>
        <v>Vřesina</v>
      </c>
      <c r="O51" s="222" t="str">
        <f>IF(Uvod!$C$15="","",Uvod!$C$15)</f>
        <v/>
      </c>
      <c r="P51" s="222" t="str">
        <f>IF(Uvod!$C$16="","",Uvod!$C$16)</f>
        <v/>
      </c>
      <c r="Q51" s="223" t="str">
        <f>IF(Uvod!$C$17="","",Uvod!$C$17)</f>
        <v/>
      </c>
      <c r="R51" s="265" t="s">
        <v>121</v>
      </c>
      <c r="S51" s="266" t="s">
        <v>122</v>
      </c>
    </row>
    <row r="52" spans="2:19" ht="21.75" hidden="1" thickBot="1" x14ac:dyDescent="0.4">
      <c r="B52" s="215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4"/>
      <c r="R52" s="193"/>
      <c r="S52" s="193"/>
    </row>
    <row r="53" spans="2:19" ht="21.75" hidden="1" thickBot="1" x14ac:dyDescent="0.4">
      <c r="B53" s="216" t="s">
        <v>73</v>
      </c>
      <c r="C53" s="198" t="s">
        <v>74</v>
      </c>
      <c r="D53" s="198" t="s">
        <v>75</v>
      </c>
      <c r="E53" s="198" t="s">
        <v>76</v>
      </c>
      <c r="F53" s="198" t="s">
        <v>77</v>
      </c>
      <c r="G53" s="198" t="s">
        <v>78</v>
      </c>
      <c r="H53" s="198" t="s">
        <v>79</v>
      </c>
      <c r="I53" s="198" t="s">
        <v>80</v>
      </c>
      <c r="J53" s="198" t="s">
        <v>81</v>
      </c>
      <c r="K53" s="198" t="s">
        <v>82</v>
      </c>
      <c r="L53" s="198" t="s">
        <v>83</v>
      </c>
      <c r="M53" s="198" t="s">
        <v>84</v>
      </c>
      <c r="N53" s="198" t="s">
        <v>85</v>
      </c>
      <c r="O53" s="198" t="s">
        <v>86</v>
      </c>
      <c r="P53" s="198" t="s">
        <v>87</v>
      </c>
      <c r="Q53" s="199" t="s">
        <v>88</v>
      </c>
      <c r="R53" s="259" t="s">
        <v>119</v>
      </c>
      <c r="S53" s="259" t="s">
        <v>123</v>
      </c>
    </row>
    <row r="54" spans="2:19" ht="21" x14ac:dyDescent="0.35">
      <c r="B54" s="217" t="s">
        <v>19</v>
      </c>
      <c r="C54" s="200">
        <f>IF('1. k'!$D$4="","",VLOOKUP(Tabulka98[[#This Row],[Sloupec1]],Tabulka38111420[[Tým]:[Body]],6,FALSE))</f>
        <v>24</v>
      </c>
      <c r="D54" s="194">
        <f>IF('2. k'!$D$4="","",VLOOKUP(Tabulka98[[#This Row],[Sloupec1]],Tabulka381114[[Tým]:[Body]],6,FALSE))</f>
        <v>24</v>
      </c>
      <c r="E54" s="194">
        <f>IF('3. k'!$D$4="","",VLOOKUP(Tabulka98[[#This Row],[Sloupec1]],Tabulka38111426[[Tým]:[Body]],6,FALSE))</f>
        <v>24</v>
      </c>
      <c r="F54" s="194">
        <f>IF('4. k'!$D$4="","",VLOOKUP(Tabulka98[[#This Row],[Sloupec1]],Tabulka3811142632[[Tým]:[Body]],6,FALSE))</f>
        <v>24</v>
      </c>
      <c r="G54" s="255">
        <f>IF('5. k'!D4="","",VLOOKUP(Tabulka98[[#This Row],[Sloupec1]],Tabulka381114263238[[Tým]:[Body]],6,FALSE))</f>
        <v>18</v>
      </c>
      <c r="H54" s="255">
        <f>IF('6. k'!D4="","",VLOOKUP(Tabulka98[[#This Row],[Sloupec1]],Tabulka38111426323844[[Tým]:[Body]],6,FALSE))</f>
        <v>19</v>
      </c>
      <c r="I54" s="255">
        <f>IF('7. k'!D4="","",VLOOKUP(Tabulka98[[#This Row],[Sloupec1]],Tabulka3811142632384450[[Tým]:[Body]],6,FALSE))</f>
        <v>23</v>
      </c>
      <c r="J54" s="255" t="str">
        <f>IF('8. k'!D4="","",VLOOKUP(Tabulka98[[#This Row],[Sloupec1]],Tabulka381114263238445056[[Tým]:[Body]],6,FALSE))</f>
        <v/>
      </c>
      <c r="K54" s="255" t="str">
        <f>IF('9. k'!D4="","",VLOOKUP(Tabulka98[[#This Row],[Sloupec1]],Tabulka38111426323844505662[[Tým]:[Body]],6,FALSE))</f>
        <v/>
      </c>
      <c r="L54" s="255" t="str">
        <f>IF('10. k'!D4="","",VLOOKUP(Tabulka98[[#This Row],[Sloupec1]],Tabulka3811142632384450566268[[Tým]:[Body]],6,FALSE))</f>
        <v/>
      </c>
      <c r="M54" s="255" t="str">
        <f>IF('11. k'!D4="","",VLOOKUP(Tabulka98[[#This Row],[Sloupec1]],Tabulka381114263238445056626874[[Tým]:[Body]],6,FALSE))</f>
        <v/>
      </c>
      <c r="N54" s="255" t="str">
        <f>IF('12. k'!D4="","",VLOOKUP(Tabulka98[[#This Row],[Sloupec1]],Tabulka38111426323844505662687480[[Tým]:[Body]],6,FALSE))</f>
        <v/>
      </c>
      <c r="O54" s="255" t="str">
        <f>IF('13. k'!D4="","",VLOOKUP(Tabulka98[[#This Row],[Sloupec1]],Tabulka3811142632384450566268748086[[Tým]:[Body]],6,FALSE))</f>
        <v/>
      </c>
      <c r="P54" s="255" t="str">
        <f>IF('14. k'!$D$4="","",VLOOKUP(Tabulka98[[#This Row],[Sloupec1]],Tabulka381114263238445056626874808692[[Tým]:[Body]],6,FALSE))</f>
        <v/>
      </c>
      <c r="Q54" s="260" t="str">
        <f>IF('15. k'!D4="","",VLOOKUP(Tabulka98[[#This Row],[Sloupec1]],Tabulka38111426323844505662687480869298[[Tým]:[Body]],6,FALSE))</f>
        <v/>
      </c>
      <c r="R54" s="262">
        <f>SUM(Tabulka98[[#This Row],[Sloupec2]:[Sloupec16]])</f>
        <v>156</v>
      </c>
      <c r="S54" s="277">
        <f>_xlfn.RANK.EQ(Tabulka98[[#This Row],[Sloupec17]],Tabulka98[Sloupec17],0)</f>
        <v>1</v>
      </c>
    </row>
    <row r="55" spans="2:19" ht="21" x14ac:dyDescent="0.35">
      <c r="B55" s="218" t="s">
        <v>23</v>
      </c>
      <c r="C55" s="201">
        <f>IF('1. k'!$D$4="","",VLOOKUP(Tabulka98[[#This Row],[Sloupec1]],Tabulka38111420[[Tým]:[Body]],6,FALSE))</f>
        <v>16</v>
      </c>
      <c r="D55" s="195">
        <f>IF('2. k'!$D$4="","",VLOOKUP(Tabulka98[[#This Row],[Sloupec1]],Tabulka381114[[Tým]:[Body]],6,FALSE))</f>
        <v>21</v>
      </c>
      <c r="E55" s="195">
        <f>IF('3. k'!$D$4="","",VLOOKUP(Tabulka98[[#This Row],[Sloupec1]],Tabulka38111426[[Tým]:[Body]],6,FALSE))</f>
        <v>22</v>
      </c>
      <c r="F55" s="195">
        <f>IF('4. k'!$D$4="","",VLOOKUP(Tabulka98[[#This Row],[Sloupec1]],Tabulka3811142632[[Tým]:[Body]],6,FALSE))</f>
        <v>20</v>
      </c>
      <c r="G55" s="256">
        <f>IF('5. k'!D12="","",VLOOKUP(Tabulka98[[#This Row],[Sloupec1]],Tabulka381114263238[[Tým]:[Body]],6,FALSE))</f>
        <v>23</v>
      </c>
      <c r="H55" s="256">
        <f>IF('6. k'!D12="","",VLOOKUP(Tabulka98[[#This Row],[Sloupec1]],Tabulka38111426323844[[Tým]:[Body]],6,FALSE))</f>
        <v>18</v>
      </c>
      <c r="I55" s="256">
        <f>IF('7. k'!D12="","",VLOOKUP(Tabulka98[[#This Row],[Sloupec1]],Tabulka3811142632384450[[Tým]:[Body]],6,FALSE))</f>
        <v>19</v>
      </c>
      <c r="J55" s="256" t="str">
        <f>IF('8. k'!D12="","",VLOOKUP(Tabulka98[[#This Row],[Sloupec1]],Tabulka381114263238445056[[Tým]:[Body]],6,FALSE))</f>
        <v/>
      </c>
      <c r="K55" s="256" t="str">
        <f>IF('9. k'!D12="","",VLOOKUP(Tabulka98[[#This Row],[Sloupec1]],Tabulka38111426323844505662[[Tým]:[Body]],6,FALSE))</f>
        <v/>
      </c>
      <c r="L55" s="256" t="str">
        <f>IF('10. k'!D12="","",VLOOKUP(Tabulka98[[#This Row],[Sloupec1]],Tabulka3811142632384450566268[[Tým]:[Body]],6,FALSE))</f>
        <v/>
      </c>
      <c r="M55" s="256" t="str">
        <f>IF('11. k'!D12="","",VLOOKUP(Tabulka98[[#This Row],[Sloupec1]],Tabulka381114263238445056626874[[Tým]:[Body]],6,FALSE))</f>
        <v/>
      </c>
      <c r="N55" s="256" t="str">
        <f>IF('12. k'!D12="","",VLOOKUP(Tabulka98[[#This Row],[Sloupec1]],Tabulka38111426323844505662687480[[Tým]:[Body]],6,FALSE))</f>
        <v/>
      </c>
      <c r="O55" s="256" t="str">
        <f>IF('13. k'!D12="","",VLOOKUP(Tabulka98[[#This Row],[Sloupec1]],Tabulka3811142632384450566268748086[[Tým]:[Body]],6,FALSE))</f>
        <v/>
      </c>
      <c r="P55" s="256" t="str">
        <f>IF('14. k'!$D$4="","",VLOOKUP(Tabulka98[[#This Row],[Sloupec1]],Tabulka381114263238445056626874808692[[Tým]:[Body]],6,FALSE))</f>
        <v/>
      </c>
      <c r="Q55" s="258" t="str">
        <f>IF('15. k'!D12="","",VLOOKUP(Tabulka98[[#This Row],[Sloupec1]],Tabulka38111426323844505662687480869298[[Tým]:[Body]],6,FALSE))</f>
        <v/>
      </c>
      <c r="R55" s="263">
        <f>SUM(Tabulka98[[#This Row],[Sloupec2]:[Sloupec16]])</f>
        <v>139</v>
      </c>
      <c r="S55" s="278">
        <f>_xlfn.RANK.EQ(Tabulka98[[#This Row],[Sloupec17]],Tabulka98[Sloupec17],0)</f>
        <v>2</v>
      </c>
    </row>
    <row r="56" spans="2:19" ht="21" x14ac:dyDescent="0.35">
      <c r="B56" s="218" t="s">
        <v>10</v>
      </c>
      <c r="C56" s="201">
        <f>IF('1. k'!$D$4="","",VLOOKUP(Tabulka98[[#This Row],[Sloupec1]],Tabulka38111420[[Tým]:[Body]],6,FALSE))</f>
        <v>18</v>
      </c>
      <c r="D56" s="195">
        <f>IF('2. k'!$D$4="","",VLOOKUP(Tabulka98[[#This Row],[Sloupec1]],Tabulka381114[[Tým]:[Body]],6,FALSE))</f>
        <v>18</v>
      </c>
      <c r="E56" s="195">
        <f>IF('3. k'!$D$4="","",VLOOKUP(Tabulka98[[#This Row],[Sloupec1]],Tabulka38111426[[Tým]:[Body]],6,FALSE))</f>
        <v>23</v>
      </c>
      <c r="F56" s="195">
        <f>IF('4. k'!$D$4="","",VLOOKUP(Tabulka98[[#This Row],[Sloupec1]],Tabulka3811142632[[Tým]:[Body]],6,FALSE))</f>
        <v>21</v>
      </c>
      <c r="G56" s="256">
        <f>IF('5. k'!D10="","",VLOOKUP(Tabulka98[[#This Row],[Sloupec1]],Tabulka381114263238[[Tým]:[Body]],6,FALSE))</f>
        <v>19</v>
      </c>
      <c r="H56" s="256">
        <f>IF('6. k'!D10="","",VLOOKUP(Tabulka98[[#This Row],[Sloupec1]],Tabulka38111426323844[[Tým]:[Body]],6,FALSE))</f>
        <v>16</v>
      </c>
      <c r="I56" s="256">
        <f>IF('7. k'!D10="","",VLOOKUP(Tabulka98[[#This Row],[Sloupec1]],Tabulka3811142632384450[[Tým]:[Body]],6,FALSE))</f>
        <v>17</v>
      </c>
      <c r="J56" s="256" t="str">
        <f>IF('8. k'!D10="","",VLOOKUP(Tabulka98[[#This Row],[Sloupec1]],Tabulka381114263238445056[[Tým]:[Body]],6,FALSE))</f>
        <v/>
      </c>
      <c r="K56" s="256" t="str">
        <f>IF('9. k'!D10="","",VLOOKUP(Tabulka98[[#This Row],[Sloupec1]],Tabulka38111426323844505662[[Tým]:[Body]],6,FALSE))</f>
        <v/>
      </c>
      <c r="L56" s="256" t="str">
        <f>IF('10. k'!D10="","",VLOOKUP(Tabulka98[[#This Row],[Sloupec1]],Tabulka3811142632384450566268[[Tým]:[Body]],6,FALSE))</f>
        <v/>
      </c>
      <c r="M56" s="256" t="str">
        <f>IF('11. k'!D10="","",VLOOKUP(Tabulka98[[#This Row],[Sloupec1]],Tabulka381114263238445056626874[[Tým]:[Body]],6,FALSE))</f>
        <v/>
      </c>
      <c r="N56" s="256" t="str">
        <f>IF('12. k'!D10="","",VLOOKUP(Tabulka98[[#This Row],[Sloupec1]],Tabulka38111426323844505662687480[[Tým]:[Body]],6,FALSE))</f>
        <v/>
      </c>
      <c r="O56" s="256" t="str">
        <f>IF('13. k'!D10="","",VLOOKUP(Tabulka98[[#This Row],[Sloupec1]],Tabulka3811142632384450566268748086[[Tým]:[Body]],6,FALSE))</f>
        <v/>
      </c>
      <c r="P56" s="256" t="str">
        <f>IF('14. k'!$D$4="","",VLOOKUP(Tabulka98[[#This Row],[Sloupec1]],Tabulka381114263238445056626874808692[[Tým]:[Body]],6,FALSE))</f>
        <v/>
      </c>
      <c r="Q56" s="258" t="str">
        <f>IF('15. k'!D10="","",VLOOKUP(Tabulka98[[#This Row],[Sloupec1]],Tabulka38111426323844505662687480869298[[Tým]:[Body]],6,FALSE))</f>
        <v/>
      </c>
      <c r="R56" s="263">
        <f>SUM(Tabulka98[[#This Row],[Sloupec2]:[Sloupec16]])</f>
        <v>132</v>
      </c>
      <c r="S56" s="278">
        <f>_xlfn.RANK.EQ(Tabulka98[[#This Row],[Sloupec17]],Tabulka98[Sloupec17],0)</f>
        <v>4</v>
      </c>
    </row>
    <row r="57" spans="2:19" ht="21" x14ac:dyDescent="0.35">
      <c r="B57" s="218" t="s">
        <v>30</v>
      </c>
      <c r="C57" s="201">
        <f>IF('1. k'!$D$4="","",VLOOKUP(Tabulka98[[#This Row],[Sloupec1]],Tabulka38111420[[Tým]:[Body]],6,FALSE))</f>
        <v>23</v>
      </c>
      <c r="D57" s="195">
        <f>IF('2. k'!$D$4="","",VLOOKUP(Tabulka98[[#This Row],[Sloupec1]],Tabulka381114[[Tým]:[Body]],6,FALSE))</f>
        <v>5</v>
      </c>
      <c r="E57" s="195">
        <f>IF('3. k'!$D$4="","",VLOOKUP(Tabulka98[[#This Row],[Sloupec1]],Tabulka38111426[[Tým]:[Body]],6,FALSE))</f>
        <v>21</v>
      </c>
      <c r="F57" s="195">
        <f>IF('4. k'!$D$4="","",VLOOKUP(Tabulka98[[#This Row],[Sloupec1]],Tabulka3811142632[[Tým]:[Body]],6,FALSE))</f>
        <v>18</v>
      </c>
      <c r="G57" s="256">
        <f>IF('5. k'!D5="","",VLOOKUP(Tabulka98[[#This Row],[Sloupec1]],Tabulka381114263238[[Tým]:[Body]],6,FALSE))</f>
        <v>24</v>
      </c>
      <c r="H57" s="256">
        <f>IF('6. k'!D5="","",VLOOKUP(Tabulka98[[#This Row],[Sloupec1]],Tabulka38111426323844[[Tým]:[Body]],6,FALSE))</f>
        <v>24</v>
      </c>
      <c r="I57" s="256">
        <f>IF('7. k'!D5="","",VLOOKUP(Tabulka98[[#This Row],[Sloupec1]],Tabulka3811142632384450[[Tým]:[Body]],6,FALSE))</f>
        <v>24</v>
      </c>
      <c r="J57" s="256" t="str">
        <f>IF('8. k'!D5="","",VLOOKUP(Tabulka98[[#This Row],[Sloupec1]],Tabulka381114263238445056[[Tým]:[Body]],6,FALSE))</f>
        <v/>
      </c>
      <c r="K57" s="256" t="str">
        <f>IF('9. k'!D5="","",VLOOKUP(Tabulka98[[#This Row],[Sloupec1]],Tabulka38111426323844505662[[Tým]:[Body]],6,FALSE))</f>
        <v/>
      </c>
      <c r="L57" s="256" t="str">
        <f>IF('10. k'!D5="","",VLOOKUP(Tabulka98[[#This Row],[Sloupec1]],Tabulka3811142632384450566268[[Tým]:[Body]],6,FALSE))</f>
        <v/>
      </c>
      <c r="M57" s="256" t="str">
        <f>IF('11. k'!D5="","",VLOOKUP(Tabulka98[[#This Row],[Sloupec1]],Tabulka381114263238445056626874[[Tým]:[Body]],6,FALSE))</f>
        <v/>
      </c>
      <c r="N57" s="256" t="str">
        <f>IF('12. k'!D5="","",VLOOKUP(Tabulka98[[#This Row],[Sloupec1]],Tabulka38111426323844505662687480[[Tým]:[Body]],6,FALSE))</f>
        <v/>
      </c>
      <c r="O57" s="256" t="str">
        <f>IF('13. k'!D5="","",VLOOKUP(Tabulka98[[#This Row],[Sloupec1]],Tabulka3811142632384450566268748086[[Tým]:[Body]],6,FALSE))</f>
        <v/>
      </c>
      <c r="P57" s="256" t="str">
        <f>IF('14. k'!$D$4="","",VLOOKUP(Tabulka98[[#This Row],[Sloupec1]],Tabulka381114263238445056626874808692[[Tým]:[Body]],6,FALSE))</f>
        <v/>
      </c>
      <c r="Q57" s="258" t="str">
        <f>IF('15. k'!D5="","",VLOOKUP(Tabulka98[[#This Row],[Sloupec1]],Tabulka38111426323844505662687480869298[[Tým]:[Body]],6,FALSE))</f>
        <v/>
      </c>
      <c r="R57" s="263">
        <f>SUM(Tabulka98[[#This Row],[Sloupec2]:[Sloupec16]])</f>
        <v>139</v>
      </c>
      <c r="S57" s="278">
        <f>_xlfn.RANK.EQ(Tabulka98[[#This Row],[Sloupec17]],Tabulka98[Sloupec17],0)</f>
        <v>2</v>
      </c>
    </row>
    <row r="58" spans="2:19" ht="21" x14ac:dyDescent="0.35">
      <c r="B58" s="218" t="s">
        <v>22</v>
      </c>
      <c r="C58" s="201">
        <f>IF('1. k'!$D$4="","",VLOOKUP(Tabulka98[[#This Row],[Sloupec1]],Tabulka38111420[[Tým]:[Body]],6,FALSE))</f>
        <v>22</v>
      </c>
      <c r="D58" s="195">
        <f>IF('2. k'!$D$4="","",VLOOKUP(Tabulka98[[#This Row],[Sloupec1]],Tabulka381114[[Tým]:[Body]],6,FALSE))</f>
        <v>19</v>
      </c>
      <c r="E58" s="195">
        <f>IF('3. k'!$D$4="","",VLOOKUP(Tabulka98[[#This Row],[Sloupec1]],Tabulka38111426[[Tým]:[Body]],6,FALSE))</f>
        <v>20</v>
      </c>
      <c r="F58" s="195">
        <f>IF('4. k'!$D$4="","",VLOOKUP(Tabulka98[[#This Row],[Sloupec1]],Tabulka3811142632[[Tým]:[Body]],6,FALSE))</f>
        <v>22</v>
      </c>
      <c r="G58" s="256">
        <f>IF('5. k'!D6="","",VLOOKUP(Tabulka98[[#This Row],[Sloupec1]],Tabulka381114263238[[Tým]:[Body]],6,FALSE))</f>
        <v>5</v>
      </c>
      <c r="H58" s="256">
        <f>IF('6. k'!D6="","",VLOOKUP(Tabulka98[[#This Row],[Sloupec1]],Tabulka38111426323844[[Tým]:[Body]],6,FALSE))</f>
        <v>23</v>
      </c>
      <c r="I58" s="256">
        <f>IF('7. k'!D6="","",VLOOKUP(Tabulka98[[#This Row],[Sloupec1]],Tabulka3811142632384450[[Tým]:[Body]],6,FALSE))</f>
        <v>18</v>
      </c>
      <c r="J58" s="256" t="str">
        <f>IF('8. k'!D6="","",VLOOKUP(Tabulka98[[#This Row],[Sloupec1]],Tabulka381114263238445056[[Tým]:[Body]],6,FALSE))</f>
        <v/>
      </c>
      <c r="K58" s="256" t="str">
        <f>IF('9. k'!D6="","",VLOOKUP(Tabulka98[[#This Row],[Sloupec1]],Tabulka38111426323844505662[[Tým]:[Body]],6,FALSE))</f>
        <v/>
      </c>
      <c r="L58" s="256" t="str">
        <f>IF('10. k'!D6="","",VLOOKUP(Tabulka98[[#This Row],[Sloupec1]],Tabulka3811142632384450566268[[Tým]:[Body]],6,FALSE))</f>
        <v/>
      </c>
      <c r="M58" s="256" t="str">
        <f>IF('11. k'!D6="","",VLOOKUP(Tabulka98[[#This Row],[Sloupec1]],Tabulka381114263238445056626874[[Tým]:[Body]],6,FALSE))</f>
        <v/>
      </c>
      <c r="N58" s="256" t="str">
        <f>IF('12. k'!D6="","",VLOOKUP(Tabulka98[[#This Row],[Sloupec1]],Tabulka38111426323844505662687480[[Tým]:[Body]],6,FALSE))</f>
        <v/>
      </c>
      <c r="O58" s="256" t="str">
        <f>IF('13. k'!D6="","",VLOOKUP(Tabulka98[[#This Row],[Sloupec1]],Tabulka3811142632384450566268748086[[Tým]:[Body]],6,FALSE))</f>
        <v/>
      </c>
      <c r="P58" s="256" t="str">
        <f>IF('14. k'!$D$4="","",VLOOKUP(Tabulka98[[#This Row],[Sloupec1]],Tabulka381114263238445056626874808692[[Tým]:[Body]],6,FALSE))</f>
        <v/>
      </c>
      <c r="Q58" s="258" t="str">
        <f>IF('15. k'!D6="","",VLOOKUP(Tabulka98[[#This Row],[Sloupec1]],Tabulka38111426323844505662687480869298[[Tým]:[Body]],6,FALSE))</f>
        <v/>
      </c>
      <c r="R58" s="263">
        <f>SUM(Tabulka98[[#This Row],[Sloupec2]:[Sloupec16]])</f>
        <v>129</v>
      </c>
      <c r="S58" s="278">
        <f>_xlfn.RANK.EQ(Tabulka98[[#This Row],[Sloupec17]],Tabulka98[Sloupec17],0)</f>
        <v>5</v>
      </c>
    </row>
    <row r="59" spans="2:19" ht="21" x14ac:dyDescent="0.35">
      <c r="B59" s="218" t="s">
        <v>20</v>
      </c>
      <c r="C59" s="201">
        <f>IF('1. k'!$D$4="","",VLOOKUP(Tabulka98[[#This Row],[Sloupec1]],Tabulka38111420[[Tým]:[Body]],6,FALSE))</f>
        <v>21</v>
      </c>
      <c r="D59" s="195">
        <f>IF('2. k'!$D$4="","",VLOOKUP(Tabulka98[[#This Row],[Sloupec1]],Tabulka381114[[Tým]:[Body]],6,FALSE))</f>
        <v>22</v>
      </c>
      <c r="E59" s="195">
        <f>IF('3. k'!$D$4="","",VLOOKUP(Tabulka98[[#This Row],[Sloupec1]],Tabulka38111426[[Tým]:[Body]],6,FALSE))</f>
        <v>9</v>
      </c>
      <c r="F59" s="195">
        <f>IF('4. k'!$D$4="","",VLOOKUP(Tabulka98[[#This Row],[Sloupec1]],Tabulka3811142632[[Tým]:[Body]],6,FALSE))</f>
        <v>23</v>
      </c>
      <c r="G59" s="256">
        <f>IF('5. k'!D7="","",VLOOKUP(Tabulka98[[#This Row],[Sloupec1]],Tabulka381114263238[[Tým]:[Body]],6,FALSE))</f>
        <v>12</v>
      </c>
      <c r="H59" s="256">
        <f>IF('6. k'!D7="","",VLOOKUP(Tabulka98[[#This Row],[Sloupec1]],Tabulka38111426323844[[Tým]:[Body]],6,FALSE))</f>
        <v>21</v>
      </c>
      <c r="I59" s="256">
        <f>IF('7. k'!D7="","",VLOOKUP(Tabulka98[[#This Row],[Sloupec1]],Tabulka3811142632384450[[Tým]:[Body]],6,FALSE))</f>
        <v>15</v>
      </c>
      <c r="J59" s="256" t="str">
        <f>IF('8. k'!D7="","",VLOOKUP(Tabulka98[[#This Row],[Sloupec1]],Tabulka381114263238445056[[Tým]:[Body]],6,FALSE))</f>
        <v/>
      </c>
      <c r="K59" s="256" t="str">
        <f>IF('9. k'!D7="","",VLOOKUP(Tabulka98[[#This Row],[Sloupec1]],Tabulka38111426323844505662[[Tým]:[Body]],6,FALSE))</f>
        <v/>
      </c>
      <c r="L59" s="256" t="str">
        <f>IF('10. k'!D7="","",VLOOKUP(Tabulka98[[#This Row],[Sloupec1]],Tabulka3811142632384450566268[[Tým]:[Body]],6,FALSE))</f>
        <v/>
      </c>
      <c r="M59" s="256" t="str">
        <f>IF('11. k'!D7="","",VLOOKUP(Tabulka98[[#This Row],[Sloupec1]],Tabulka381114263238445056626874[[Tým]:[Body]],6,FALSE))</f>
        <v/>
      </c>
      <c r="N59" s="256" t="str">
        <f>IF('12. k'!D7="","",VLOOKUP(Tabulka98[[#This Row],[Sloupec1]],Tabulka38111426323844505662687480[[Tým]:[Body]],6,FALSE))</f>
        <v/>
      </c>
      <c r="O59" s="256" t="str">
        <f>IF('13. k'!D7="","",VLOOKUP(Tabulka98[[#This Row],[Sloupec1]],Tabulka3811142632384450566268748086[[Tým]:[Body]],6,FALSE))</f>
        <v/>
      </c>
      <c r="P59" s="256" t="str">
        <f>IF('14. k'!$D$4="","",VLOOKUP(Tabulka98[[#This Row],[Sloupec1]],Tabulka381114263238445056626874808692[[Tým]:[Body]],6,FALSE))</f>
        <v/>
      </c>
      <c r="Q59" s="258" t="str">
        <f>IF('15. k'!D7="","",VLOOKUP(Tabulka98[[#This Row],[Sloupec1]],Tabulka38111426323844505662687480869298[[Tým]:[Body]],6,FALSE))</f>
        <v/>
      </c>
      <c r="R59" s="263">
        <f>SUM(Tabulka98[[#This Row],[Sloupec2]:[Sloupec16]])</f>
        <v>123</v>
      </c>
      <c r="S59" s="278">
        <f>_xlfn.RANK.EQ(Tabulka98[[#This Row],[Sloupec17]],Tabulka98[Sloupec17],0)</f>
        <v>6</v>
      </c>
    </row>
    <row r="60" spans="2:19" ht="21" x14ac:dyDescent="0.35">
      <c r="B60" s="218" t="s">
        <v>15</v>
      </c>
      <c r="C60" s="201">
        <f>IF('1. k'!$D$4="","",VLOOKUP(Tabulka98[[#This Row],[Sloupec1]],Tabulka38111420[[Tým]:[Body]],6,FALSE))</f>
        <v>19</v>
      </c>
      <c r="D60" s="195">
        <f>IF('2. k'!$D$4="","",VLOOKUP(Tabulka98[[#This Row],[Sloupec1]],Tabulka381114[[Tým]:[Body]],6,FALSE))</f>
        <v>17</v>
      </c>
      <c r="E60" s="195">
        <f>IF('3. k'!$D$4="","",VLOOKUP(Tabulka98[[#This Row],[Sloupec1]],Tabulka38111426[[Tým]:[Body]],6,FALSE))</f>
        <v>11</v>
      </c>
      <c r="F60" s="195">
        <f>IF('4. k'!$D$4="","",VLOOKUP(Tabulka98[[#This Row],[Sloupec1]],Tabulka3811142632[[Tým]:[Body]],6,FALSE))</f>
        <v>10</v>
      </c>
      <c r="G60" s="256">
        <f>IF('5. k'!D9="","",VLOOKUP(Tabulka98[[#This Row],[Sloupec1]],Tabulka381114263238[[Tým]:[Body]],6,FALSE))</f>
        <v>21</v>
      </c>
      <c r="H60" s="256">
        <f>IF('6. k'!D9="","",VLOOKUP(Tabulka98[[#This Row],[Sloupec1]],Tabulka38111426323844[[Tým]:[Body]],6,FALSE))</f>
        <v>8</v>
      </c>
      <c r="I60" s="256">
        <f>IF('7. k'!D9="","",VLOOKUP(Tabulka98[[#This Row],[Sloupec1]],Tabulka3811142632384450[[Tým]:[Body]],6,FALSE))</f>
        <v>12</v>
      </c>
      <c r="J60" s="256" t="str">
        <f>IF('8. k'!D9="","",VLOOKUP(Tabulka98[[#This Row],[Sloupec1]],Tabulka381114263238445056[[Tým]:[Body]],6,FALSE))</f>
        <v/>
      </c>
      <c r="K60" s="256" t="str">
        <f>IF('9. k'!D9="","",VLOOKUP(Tabulka98[[#This Row],[Sloupec1]],Tabulka38111426323844505662[[Tým]:[Body]],6,FALSE))</f>
        <v/>
      </c>
      <c r="L60" s="256" t="str">
        <f>IF('10. k'!D9="","",VLOOKUP(Tabulka98[[#This Row],[Sloupec1]],Tabulka3811142632384450566268[[Tým]:[Body]],6,FALSE))</f>
        <v/>
      </c>
      <c r="M60" s="256" t="str">
        <f>IF('11. k'!D9="","",VLOOKUP(Tabulka98[[#This Row],[Sloupec1]],Tabulka381114263238445056626874[[Tým]:[Body]],6,FALSE))</f>
        <v/>
      </c>
      <c r="N60" s="256" t="str">
        <f>IF('12. k'!D9="","",VLOOKUP(Tabulka98[[#This Row],[Sloupec1]],Tabulka38111426323844505662687480[[Tým]:[Body]],6,FALSE))</f>
        <v/>
      </c>
      <c r="O60" s="256" t="str">
        <f>IF('13. k'!D9="","",VLOOKUP(Tabulka98[[#This Row],[Sloupec1]],Tabulka3811142632384450566268748086[[Tým]:[Body]],6,FALSE))</f>
        <v/>
      </c>
      <c r="P60" s="256" t="str">
        <f>IF('14. k'!$D$4="","",VLOOKUP(Tabulka98[[#This Row],[Sloupec1]],Tabulka381114263238445056626874808692[[Tým]:[Body]],6,FALSE))</f>
        <v/>
      </c>
      <c r="Q60" s="258" t="str">
        <f>IF('15. k'!D9="","",VLOOKUP(Tabulka98[[#This Row],[Sloupec1]],Tabulka38111426323844505662687480869298[[Tým]:[Body]],6,FALSE))</f>
        <v/>
      </c>
      <c r="R60" s="263">
        <f>SUM(Tabulka98[[#This Row],[Sloupec2]:[Sloupec16]])</f>
        <v>98</v>
      </c>
      <c r="S60" s="278">
        <f>_xlfn.RANK.EQ(Tabulka98[[#This Row],[Sloupec17]],Tabulka98[Sloupec17],0)</f>
        <v>9</v>
      </c>
    </row>
    <row r="61" spans="2:19" ht="21" x14ac:dyDescent="0.35">
      <c r="B61" s="218" t="s">
        <v>16</v>
      </c>
      <c r="C61" s="201">
        <f>IF('1. k'!$D$4="","",VLOOKUP(Tabulka98[[#This Row],[Sloupec1]],Tabulka38111420[[Tým]:[Body]],6,FALSE))</f>
        <v>13</v>
      </c>
      <c r="D61" s="195">
        <f>IF('2. k'!$D$4="","",VLOOKUP(Tabulka98[[#This Row],[Sloupec1]],Tabulka381114[[Tým]:[Body]],6,FALSE))</f>
        <v>20</v>
      </c>
      <c r="E61" s="195">
        <f>IF('3. k'!$D$4="","",VLOOKUP(Tabulka98[[#This Row],[Sloupec1]],Tabulka38111426[[Tým]:[Body]],6,FALSE))</f>
        <v>10</v>
      </c>
      <c r="F61" s="195">
        <f>IF('4. k'!$D$4="","",VLOOKUP(Tabulka98[[#This Row],[Sloupec1]],Tabulka3811142632[[Tým]:[Body]],6,FALSE))</f>
        <v>12</v>
      </c>
      <c r="G61" s="256">
        <f>IF('5. k'!D15="","",VLOOKUP(Tabulka98[[#This Row],[Sloupec1]],Tabulka381114263238[[Tým]:[Body]],6,FALSE))</f>
        <v>22</v>
      </c>
      <c r="H61" s="256">
        <f>IF('6. k'!D15="","",VLOOKUP(Tabulka98[[#This Row],[Sloupec1]],Tabulka38111426323844[[Tým]:[Body]],6,FALSE))</f>
        <v>20</v>
      </c>
      <c r="I61" s="256">
        <f>IF('7. k'!D15="","",VLOOKUP(Tabulka98[[#This Row],[Sloupec1]],Tabulka3811142632384450[[Tým]:[Body]],6,FALSE))</f>
        <v>20</v>
      </c>
      <c r="J61" s="256" t="str">
        <f>IF('8. k'!D15="","",VLOOKUP(Tabulka98[[#This Row],[Sloupec1]],Tabulka381114263238445056[[Tým]:[Body]],6,FALSE))</f>
        <v/>
      </c>
      <c r="K61" s="256" t="str">
        <f>IF('9. k'!D15="","",VLOOKUP(Tabulka98[[#This Row],[Sloupec1]],Tabulka38111426323844505662[[Tým]:[Body]],6,FALSE))</f>
        <v/>
      </c>
      <c r="L61" s="256" t="str">
        <f>IF('10. k'!D15="","",VLOOKUP(Tabulka98[[#This Row],[Sloupec1]],Tabulka3811142632384450566268[[Tým]:[Body]],6,FALSE))</f>
        <v/>
      </c>
      <c r="M61" s="256" t="str">
        <f>IF('11. k'!D15="","",VLOOKUP(Tabulka98[[#This Row],[Sloupec1]],Tabulka381114263238445056626874[[Tým]:[Body]],6,FALSE))</f>
        <v/>
      </c>
      <c r="N61" s="256" t="str">
        <f>IF('12. k'!D15="","",VLOOKUP(Tabulka98[[#This Row],[Sloupec1]],Tabulka38111426323844505662687480[[Tým]:[Body]],6,FALSE))</f>
        <v/>
      </c>
      <c r="O61" s="256" t="str">
        <f>IF('13. k'!D15="","",VLOOKUP(Tabulka98[[#This Row],[Sloupec1]],Tabulka3811142632384450566268748086[[Tým]:[Body]],6,FALSE))</f>
        <v/>
      </c>
      <c r="P61" s="256" t="str">
        <f>IF('14. k'!$D$4="","",VLOOKUP(Tabulka98[[#This Row],[Sloupec1]],Tabulka381114263238445056626874808692[[Tým]:[Body]],6,FALSE))</f>
        <v/>
      </c>
      <c r="Q61" s="258" t="str">
        <f>IF('15. k'!D15="","",VLOOKUP(Tabulka98[[#This Row],[Sloupec1]],Tabulka38111426323844505662687480869298[[Tým]:[Body]],6,FALSE))</f>
        <v/>
      </c>
      <c r="R61" s="263">
        <f>SUM(Tabulka98[[#This Row],[Sloupec2]:[Sloupec16]])</f>
        <v>117</v>
      </c>
      <c r="S61" s="278">
        <f>_xlfn.RANK.EQ(Tabulka98[[#This Row],[Sloupec17]],Tabulka98[Sloupec17],0)</f>
        <v>7</v>
      </c>
    </row>
    <row r="62" spans="2:19" ht="21" x14ac:dyDescent="0.35">
      <c r="B62" s="218" t="s">
        <v>11</v>
      </c>
      <c r="C62" s="201">
        <f>IF('1. k'!$D$4="","",VLOOKUP(Tabulka98[[#This Row],[Sloupec1]],Tabulka38111420[[Tým]:[Body]],6,FALSE))</f>
        <v>20</v>
      </c>
      <c r="D62" s="195">
        <f>IF('2. k'!$D$4="","",VLOOKUP(Tabulka98[[#This Row],[Sloupec1]],Tabulka381114[[Tým]:[Body]],6,FALSE))</f>
        <v>10</v>
      </c>
      <c r="E62" s="195">
        <f>IF('3. k'!$D$4="","",VLOOKUP(Tabulka98[[#This Row],[Sloupec1]],Tabulka38111426[[Tým]:[Body]],6,FALSE))</f>
        <v>14</v>
      </c>
      <c r="F62" s="195">
        <f>IF('4. k'!$D$4="","",VLOOKUP(Tabulka98[[#This Row],[Sloupec1]],Tabulka3811142632[[Tým]:[Body]],6,FALSE))</f>
        <v>15</v>
      </c>
      <c r="G62" s="256">
        <f>IF('5. k'!D8="","",VLOOKUP(Tabulka98[[#This Row],[Sloupec1]],Tabulka381114263238[[Tým]:[Body]],6,FALSE))</f>
        <v>16</v>
      </c>
      <c r="H62" s="256">
        <f>IF('6. k'!D8="","",VLOOKUP(Tabulka98[[#This Row],[Sloupec1]],Tabulka38111426323844[[Tým]:[Body]],6,FALSE))</f>
        <v>12</v>
      </c>
      <c r="I62" s="256">
        <f>IF('7. k'!D8="","",VLOOKUP(Tabulka98[[#This Row],[Sloupec1]],Tabulka3811142632384450[[Tým]:[Body]],6,FALSE))</f>
        <v>11</v>
      </c>
      <c r="J62" s="256" t="str">
        <f>IF('8. k'!D8="","",VLOOKUP(Tabulka98[[#This Row],[Sloupec1]],Tabulka381114263238445056[[Tým]:[Body]],6,FALSE))</f>
        <v/>
      </c>
      <c r="K62" s="256" t="str">
        <f>IF('9. k'!D8="","",VLOOKUP(Tabulka98[[#This Row],[Sloupec1]],Tabulka38111426323844505662[[Tým]:[Body]],6,FALSE))</f>
        <v/>
      </c>
      <c r="L62" s="256" t="str">
        <f>IF('10. k'!D8="","",VLOOKUP(Tabulka98[[#This Row],[Sloupec1]],Tabulka3811142632384450566268[[Tým]:[Body]],6,FALSE))</f>
        <v/>
      </c>
      <c r="M62" s="256" t="str">
        <f>IF('11. k'!D8="","",VLOOKUP(Tabulka98[[#This Row],[Sloupec1]],Tabulka381114263238445056626874[[Tým]:[Body]],6,FALSE))</f>
        <v/>
      </c>
      <c r="N62" s="256" t="str">
        <f>IF('12. k'!D8="","",VLOOKUP(Tabulka98[[#This Row],[Sloupec1]],Tabulka38111426323844505662687480[[Tým]:[Body]],6,FALSE))</f>
        <v/>
      </c>
      <c r="O62" s="256" t="str">
        <f>IF('13. k'!D8="","",VLOOKUP(Tabulka98[[#This Row],[Sloupec1]],Tabulka3811142632384450566268748086[[Tým]:[Body]],6,FALSE))</f>
        <v/>
      </c>
      <c r="P62" s="256" t="str">
        <f>IF('14. k'!$D$4="","",VLOOKUP(Tabulka98[[#This Row],[Sloupec1]],Tabulka381114263238445056626874808692[[Tým]:[Body]],6,FALSE))</f>
        <v/>
      </c>
      <c r="Q62" s="258" t="str">
        <f>IF('15. k'!D8="","",VLOOKUP(Tabulka98[[#This Row],[Sloupec1]],Tabulka38111426323844505662687480869298[[Tým]:[Body]],6,FALSE))</f>
        <v/>
      </c>
      <c r="R62" s="263">
        <f>SUM(Tabulka98[[#This Row],[Sloupec2]:[Sloupec16]])</f>
        <v>98</v>
      </c>
      <c r="S62" s="278">
        <f>_xlfn.RANK.EQ(Tabulka98[[#This Row],[Sloupec17]],Tabulka98[Sloupec17],0)</f>
        <v>9</v>
      </c>
    </row>
    <row r="63" spans="2:19" ht="21" x14ac:dyDescent="0.35">
      <c r="B63" s="219" t="s">
        <v>13</v>
      </c>
      <c r="C63" s="201">
        <f>IF('1. k'!$D$4="","",VLOOKUP(Tabulka98[[#This Row],[Sloupec1]],Tabulka38111420[[Tým]:[Body]],6,FALSE))</f>
        <v>5</v>
      </c>
      <c r="D63" s="195">
        <f>IF('2. k'!$D$4="","",VLOOKUP(Tabulka98[[#This Row],[Sloupec1]],Tabulka381114[[Tým]:[Body]],6,FALSE))</f>
        <v>23</v>
      </c>
      <c r="E63" s="195">
        <f>IF('3. k'!$D$4="","",VLOOKUP(Tabulka98[[#This Row],[Sloupec1]],Tabulka38111426[[Tým]:[Body]],6,FALSE))</f>
        <v>5</v>
      </c>
      <c r="F63" s="195">
        <f>IF('4. k'!$D$4="","",VLOOKUP(Tabulka98[[#This Row],[Sloupec1]],Tabulka3811142632[[Tým]:[Body]],6,FALSE))</f>
        <v>19</v>
      </c>
      <c r="G63" s="256">
        <f>IF('5. k'!D22="","",VLOOKUP(Tabulka98[[#This Row],[Sloupec1]],Tabulka381114263238[[Tým]:[Body]],6,FALSE))</f>
        <v>20</v>
      </c>
      <c r="H63" s="256">
        <f>IF('6. k'!D22="","",VLOOKUP(Tabulka98[[#This Row],[Sloupec1]],Tabulka38111426323844[[Tým]:[Body]],6,FALSE))</f>
        <v>17</v>
      </c>
      <c r="I63" s="256">
        <f>IF('7. k'!D22="","",VLOOKUP(Tabulka98[[#This Row],[Sloupec1]],Tabulka3811142632384450[[Tým]:[Body]],6,FALSE))</f>
        <v>0</v>
      </c>
      <c r="J63" s="256" t="str">
        <f>IF('8. k'!D22="","",VLOOKUP(Tabulka98[[#This Row],[Sloupec1]],Tabulka381114263238445056[[Tým]:[Body]],6,FALSE))</f>
        <v/>
      </c>
      <c r="K63" s="256" t="str">
        <f>IF('9. k'!D22="","",VLOOKUP(Tabulka98[[#This Row],[Sloupec1]],Tabulka38111426323844505662[[Tým]:[Body]],6,FALSE))</f>
        <v/>
      </c>
      <c r="L63" s="256" t="str">
        <f>IF('10. k'!D22="","",VLOOKUP(Tabulka98[[#This Row],[Sloupec1]],Tabulka3811142632384450566268[[Tým]:[Body]],6,FALSE))</f>
        <v/>
      </c>
      <c r="M63" s="256" t="str">
        <f>IF('11. k'!D22="","",VLOOKUP(Tabulka98[[#This Row],[Sloupec1]],Tabulka381114263238445056626874[[Tým]:[Body]],6,FALSE))</f>
        <v/>
      </c>
      <c r="N63" s="256" t="str">
        <f>IF('12. k'!D22="","",VLOOKUP(Tabulka98[[#This Row],[Sloupec1]],Tabulka38111426323844505662687480[[Tým]:[Body]],6,FALSE))</f>
        <v/>
      </c>
      <c r="O63" s="256" t="str">
        <f>IF('13. k'!D22="","",VLOOKUP(Tabulka98[[#This Row],[Sloupec1]],Tabulka3811142632384450566268748086[[Tým]:[Body]],6,FALSE))</f>
        <v/>
      </c>
      <c r="P63" s="256" t="str">
        <f>IF('14. k'!$D$4="","",VLOOKUP(Tabulka98[[#This Row],[Sloupec1]],Tabulka381114263238445056626874808692[[Tým]:[Body]],6,FALSE))</f>
        <v/>
      </c>
      <c r="Q63" s="258" t="str">
        <f>IF('15. k'!D22="","",VLOOKUP(Tabulka98[[#This Row],[Sloupec1]],Tabulka38111426323844505662687480869298[[Tým]:[Body]],6,FALSE))</f>
        <v/>
      </c>
      <c r="R63" s="263">
        <f>SUM(Tabulka98[[#This Row],[Sloupec2]:[Sloupec16]])</f>
        <v>89</v>
      </c>
      <c r="S63" s="278">
        <f>_xlfn.RANK.EQ(Tabulka98[[#This Row],[Sloupec17]],Tabulka98[Sloupec17],0)</f>
        <v>13</v>
      </c>
    </row>
    <row r="64" spans="2:19" ht="21" x14ac:dyDescent="0.35">
      <c r="B64" s="218" t="s">
        <v>14</v>
      </c>
      <c r="C64" s="201">
        <f>IF('1. k'!$D$4="","",VLOOKUP(Tabulka98[[#This Row],[Sloupec1]],Tabulka38111420[[Tým]:[Body]],6,FALSE))</f>
        <v>10</v>
      </c>
      <c r="D64" s="195">
        <f>IF('2. k'!$D$4="","",VLOOKUP(Tabulka98[[#This Row],[Sloupec1]],Tabulka381114[[Tým]:[Body]],6,FALSE))</f>
        <v>8</v>
      </c>
      <c r="E64" s="195">
        <f>IF('3. k'!$D$4="","",VLOOKUP(Tabulka98[[#This Row],[Sloupec1]],Tabulka38111426[[Tým]:[Body]],6,FALSE))</f>
        <v>17</v>
      </c>
      <c r="F64" s="195">
        <f>IF('4. k'!$D$4="","",VLOOKUP(Tabulka98[[#This Row],[Sloupec1]],Tabulka3811142632[[Tým]:[Body]],6,FALSE))</f>
        <v>17</v>
      </c>
      <c r="G64" s="256">
        <f>IF('5. k'!D18="","",VLOOKUP(Tabulka98[[#This Row],[Sloupec1]],Tabulka381114263238[[Tým]:[Body]],6,FALSE))</f>
        <v>15</v>
      </c>
      <c r="H64" s="256">
        <f>IF('6. k'!D18="","",VLOOKUP(Tabulka98[[#This Row],[Sloupec1]],Tabulka38111426323844[[Tým]:[Body]],6,FALSE))</f>
        <v>13</v>
      </c>
      <c r="I64" s="256">
        <f>IF('7. k'!D18="","",VLOOKUP(Tabulka98[[#This Row],[Sloupec1]],Tabulka3811142632384450[[Tým]:[Body]],6,FALSE))</f>
        <v>9</v>
      </c>
      <c r="J64" s="256" t="str">
        <f>IF('8. k'!D18="","",VLOOKUP(Tabulka98[[#This Row],[Sloupec1]],Tabulka381114263238445056[[Tým]:[Body]],6,FALSE))</f>
        <v/>
      </c>
      <c r="K64" s="256" t="str">
        <f>IF('9. k'!D18="","",VLOOKUP(Tabulka98[[#This Row],[Sloupec1]],Tabulka38111426323844505662[[Tým]:[Body]],6,FALSE))</f>
        <v/>
      </c>
      <c r="L64" s="256" t="str">
        <f>IF('10. k'!D18="","",VLOOKUP(Tabulka98[[#This Row],[Sloupec1]],Tabulka3811142632384450566268[[Tým]:[Body]],6,FALSE))</f>
        <v/>
      </c>
      <c r="M64" s="256" t="str">
        <f>IF('11. k'!D18="","",VLOOKUP(Tabulka98[[#This Row],[Sloupec1]],Tabulka381114263238445056626874[[Tým]:[Body]],6,FALSE))</f>
        <v/>
      </c>
      <c r="N64" s="256" t="str">
        <f>IF('12. k'!D18="","",VLOOKUP(Tabulka98[[#This Row],[Sloupec1]],Tabulka38111426323844505662687480[[Tým]:[Body]],6,FALSE))</f>
        <v/>
      </c>
      <c r="O64" s="256" t="str">
        <f>IF('13. k'!D18="","",VLOOKUP(Tabulka98[[#This Row],[Sloupec1]],Tabulka3811142632384450566268748086[[Tým]:[Body]],6,FALSE))</f>
        <v/>
      </c>
      <c r="P64" s="256" t="str">
        <f>IF('14. k'!$D$4="","",VLOOKUP(Tabulka98[[#This Row],[Sloupec1]],Tabulka381114263238445056626874808692[[Tým]:[Body]],6,FALSE))</f>
        <v/>
      </c>
      <c r="Q64" s="258" t="str">
        <f>IF('15. k'!D18="","",VLOOKUP(Tabulka98[[#This Row],[Sloupec1]],Tabulka38111426323844505662687480869298[[Tým]:[Body]],6,FALSE))</f>
        <v/>
      </c>
      <c r="R64" s="263">
        <f>SUM(Tabulka98[[#This Row],[Sloupec2]:[Sloupec16]])</f>
        <v>89</v>
      </c>
      <c r="S64" s="278">
        <f>_xlfn.RANK.EQ(Tabulka98[[#This Row],[Sloupec17]],Tabulka98[Sloupec17],0)</f>
        <v>13</v>
      </c>
    </row>
    <row r="65" spans="2:19" ht="21" x14ac:dyDescent="0.35">
      <c r="B65" s="218" t="s">
        <v>18</v>
      </c>
      <c r="C65" s="201">
        <f>IF('1. k'!$D$4="","",VLOOKUP(Tabulka98[[#This Row],[Sloupec1]],Tabulka38111420[[Tým]:[Body]],6,FALSE))</f>
        <v>17</v>
      </c>
      <c r="D65" s="195">
        <f>IF('2. k'!$D$4="","",VLOOKUP(Tabulka98[[#This Row],[Sloupec1]],Tabulka381114[[Tým]:[Body]],6,FALSE))</f>
        <v>5</v>
      </c>
      <c r="E65" s="195">
        <f>IF('3. k'!$D$4="","",VLOOKUP(Tabulka98[[#This Row],[Sloupec1]],Tabulka38111426[[Tým]:[Body]],6,FALSE))</f>
        <v>16</v>
      </c>
      <c r="F65" s="195">
        <f>IF('4. k'!$D$4="","",VLOOKUP(Tabulka98[[#This Row],[Sloupec1]],Tabulka3811142632[[Tým]:[Body]],6,FALSE))</f>
        <v>11</v>
      </c>
      <c r="G65" s="256">
        <f>IF('5. k'!D11="","",VLOOKUP(Tabulka98[[#This Row],[Sloupec1]],Tabulka381114263238[[Tým]:[Body]],6,FALSE))</f>
        <v>17</v>
      </c>
      <c r="H65" s="256">
        <f>IF('6. k'!D11="","",VLOOKUP(Tabulka98[[#This Row],[Sloupec1]],Tabulka38111426323844[[Tým]:[Body]],6,FALSE))</f>
        <v>22</v>
      </c>
      <c r="I65" s="256">
        <f>IF('7. k'!D11="","",VLOOKUP(Tabulka98[[#This Row],[Sloupec1]],Tabulka3811142632384450[[Tým]:[Body]],6,FALSE))</f>
        <v>21</v>
      </c>
      <c r="J65" s="256" t="str">
        <f>IF('8. k'!D11="","",VLOOKUP(Tabulka98[[#This Row],[Sloupec1]],Tabulka381114263238445056[[Tým]:[Body]],6,FALSE))</f>
        <v/>
      </c>
      <c r="K65" s="256" t="str">
        <f>IF('9. k'!D11="","",VLOOKUP(Tabulka98[[#This Row],[Sloupec1]],Tabulka38111426323844505662[[Tým]:[Body]],6,FALSE))</f>
        <v/>
      </c>
      <c r="L65" s="256" t="str">
        <f>IF('10. k'!D11="","",VLOOKUP(Tabulka98[[#This Row],[Sloupec1]],Tabulka3811142632384450566268[[Tým]:[Body]],6,FALSE))</f>
        <v/>
      </c>
      <c r="M65" s="256" t="str">
        <f>IF('11. k'!D11="","",VLOOKUP(Tabulka98[[#This Row],[Sloupec1]],Tabulka381114263238445056626874[[Tým]:[Body]],6,FALSE))</f>
        <v/>
      </c>
      <c r="N65" s="256" t="str">
        <f>IF('12. k'!D11="","",VLOOKUP(Tabulka98[[#This Row],[Sloupec1]],Tabulka38111426323844505662687480[[Tým]:[Body]],6,FALSE))</f>
        <v/>
      </c>
      <c r="O65" s="256" t="str">
        <f>IF('13. k'!D11="","",VLOOKUP(Tabulka98[[#This Row],[Sloupec1]],Tabulka3811142632384450566268748086[[Tým]:[Body]],6,FALSE))</f>
        <v/>
      </c>
      <c r="P65" s="256" t="str">
        <f>IF('14. k'!$D$4="","",VLOOKUP(Tabulka98[[#This Row],[Sloupec1]],Tabulka381114263238445056626874808692[[Tým]:[Body]],6,FALSE))</f>
        <v/>
      </c>
      <c r="Q65" s="258" t="str">
        <f>IF('15. k'!D11="","",VLOOKUP(Tabulka98[[#This Row],[Sloupec1]],Tabulka38111426323844505662687480869298[[Tým]:[Body]],6,FALSE))</f>
        <v/>
      </c>
      <c r="R65" s="263">
        <f>SUM(Tabulka98[[#This Row],[Sloupec2]:[Sloupec16]])</f>
        <v>109</v>
      </c>
      <c r="S65" s="278">
        <f>_xlfn.RANK.EQ(Tabulka98[[#This Row],[Sloupec17]],Tabulka98[Sloupec17],0)</f>
        <v>8</v>
      </c>
    </row>
    <row r="66" spans="2:19" ht="21" x14ac:dyDescent="0.35">
      <c r="B66" s="218" t="s">
        <v>25</v>
      </c>
      <c r="C66" s="201">
        <f>IF('1. k'!$D$4="","",VLOOKUP(Tabulka98[[#This Row],[Sloupec1]],Tabulka38111420[[Tým]:[Body]],6,FALSE))</f>
        <v>11</v>
      </c>
      <c r="D66" s="195">
        <f>IF('2. k'!$D$4="","",VLOOKUP(Tabulka98[[#This Row],[Sloupec1]],Tabulka381114[[Tým]:[Body]],6,FALSE))</f>
        <v>11</v>
      </c>
      <c r="E66" s="195">
        <f>IF('3. k'!$D$4="","",VLOOKUP(Tabulka98[[#This Row],[Sloupec1]],Tabulka38111426[[Tým]:[Body]],6,FALSE))</f>
        <v>15</v>
      </c>
      <c r="F66" s="195">
        <f>IF('4. k'!$D$4="","",VLOOKUP(Tabulka98[[#This Row],[Sloupec1]],Tabulka3811142632[[Tým]:[Body]],6,FALSE))</f>
        <v>16</v>
      </c>
      <c r="G66" s="256">
        <f>IF('5. k'!D17="","",VLOOKUP(Tabulka98[[#This Row],[Sloupec1]],Tabulka381114263238[[Tým]:[Body]],6,FALSE))</f>
        <v>13</v>
      </c>
      <c r="H66" s="256">
        <f>IF('6. k'!D17="","",VLOOKUP(Tabulka98[[#This Row],[Sloupec1]],Tabulka38111426323844[[Tým]:[Body]],6,FALSE))</f>
        <v>11</v>
      </c>
      <c r="I66" s="256">
        <f>IF('7. k'!D17="","",VLOOKUP(Tabulka98[[#This Row],[Sloupec1]],Tabulka3811142632384450[[Tým]:[Body]],6,FALSE))</f>
        <v>16</v>
      </c>
      <c r="J66" s="256" t="str">
        <f>IF('8. k'!D17="","",VLOOKUP(Tabulka98[[#This Row],[Sloupec1]],Tabulka381114263238445056[[Tým]:[Body]],6,FALSE))</f>
        <v/>
      </c>
      <c r="K66" s="256" t="str">
        <f>IF('9. k'!D17="","",VLOOKUP(Tabulka98[[#This Row],[Sloupec1]],Tabulka38111426323844505662[[Tým]:[Body]],6,FALSE))</f>
        <v/>
      </c>
      <c r="L66" s="256" t="str">
        <f>IF('10. k'!D17="","",VLOOKUP(Tabulka98[[#This Row],[Sloupec1]],Tabulka3811142632384450566268[[Tým]:[Body]],6,FALSE))</f>
        <v/>
      </c>
      <c r="M66" s="256" t="str">
        <f>IF('11. k'!D17="","",VLOOKUP(Tabulka98[[#This Row],[Sloupec1]],Tabulka381114263238445056626874[[Tým]:[Body]],6,FALSE))</f>
        <v/>
      </c>
      <c r="N66" s="256" t="str">
        <f>IF('12. k'!D17="","",VLOOKUP(Tabulka98[[#This Row],[Sloupec1]],Tabulka38111426323844505662687480[[Tým]:[Body]],6,FALSE))</f>
        <v/>
      </c>
      <c r="O66" s="256" t="str">
        <f>IF('13. k'!D17="","",VLOOKUP(Tabulka98[[#This Row],[Sloupec1]],Tabulka3811142632384450566268748086[[Tým]:[Body]],6,FALSE))</f>
        <v/>
      </c>
      <c r="P66" s="256" t="str">
        <f>IF('14. k'!$D$4="","",VLOOKUP(Tabulka98[[#This Row],[Sloupec1]],Tabulka381114263238445056626874808692[[Tým]:[Body]],6,FALSE))</f>
        <v/>
      </c>
      <c r="Q66" s="258" t="str">
        <f>IF('15. k'!D17="","",VLOOKUP(Tabulka98[[#This Row],[Sloupec1]],Tabulka38111426323844505662687480869298[[Tým]:[Body]],6,FALSE))</f>
        <v/>
      </c>
      <c r="R66" s="263">
        <f>SUM(Tabulka98[[#This Row],[Sloupec2]:[Sloupec16]])</f>
        <v>93</v>
      </c>
      <c r="S66" s="278">
        <f>_xlfn.RANK.EQ(Tabulka98[[#This Row],[Sloupec17]],Tabulka98[Sloupec17],0)</f>
        <v>11</v>
      </c>
    </row>
    <row r="67" spans="2:19" ht="21" x14ac:dyDescent="0.35">
      <c r="B67" s="218" t="s">
        <v>32</v>
      </c>
      <c r="C67" s="201">
        <f>IF('1. k'!$D$4="","",VLOOKUP(Tabulka98[[#This Row],[Sloupec1]],Tabulka38111420[[Tým]:[Body]],6,FALSE))</f>
        <v>12</v>
      </c>
      <c r="D67" s="195">
        <f>IF('2. k'!$D$4="","",VLOOKUP(Tabulka98[[#This Row],[Sloupec1]],Tabulka381114[[Tým]:[Body]],6,FALSE))</f>
        <v>16</v>
      </c>
      <c r="E67" s="195">
        <f>IF('3. k'!$D$4="","",VLOOKUP(Tabulka98[[#This Row],[Sloupec1]],Tabulka38111426[[Tým]:[Body]],6,FALSE))</f>
        <v>19</v>
      </c>
      <c r="F67" s="195">
        <f>IF('4. k'!$D$4="","",VLOOKUP(Tabulka98[[#This Row],[Sloupec1]],Tabulka3811142632[[Tým]:[Body]],6,FALSE))</f>
        <v>5</v>
      </c>
      <c r="G67" s="256">
        <f>IF('5. k'!D16="","",VLOOKUP(Tabulka98[[#This Row],[Sloupec1]],Tabulka381114263238[[Tým]:[Body]],6,FALSE))</f>
        <v>5</v>
      </c>
      <c r="H67" s="256">
        <f>IF('6. k'!D16="","",VLOOKUP(Tabulka98[[#This Row],[Sloupec1]],Tabulka38111426323844[[Tým]:[Body]],6,FALSE))</f>
        <v>9</v>
      </c>
      <c r="I67" s="256">
        <f>IF('7. k'!D16="","",VLOOKUP(Tabulka98[[#This Row],[Sloupec1]],Tabulka3811142632384450[[Tým]:[Body]],6,FALSE))</f>
        <v>0</v>
      </c>
      <c r="J67" s="256" t="str">
        <f>IF('8. k'!D16="","",VLOOKUP(Tabulka98[[#This Row],[Sloupec1]],Tabulka381114263238445056[[Tým]:[Body]],6,FALSE))</f>
        <v/>
      </c>
      <c r="K67" s="256" t="str">
        <f>IF('9. k'!D16="","",VLOOKUP(Tabulka98[[#This Row],[Sloupec1]],Tabulka38111426323844505662[[Tým]:[Body]],6,FALSE))</f>
        <v/>
      </c>
      <c r="L67" s="256" t="str">
        <f>IF('10. k'!D16="","",VLOOKUP(Tabulka98[[#This Row],[Sloupec1]],Tabulka3811142632384450566268[[Tým]:[Body]],6,FALSE))</f>
        <v/>
      </c>
      <c r="M67" s="256" t="str">
        <f>IF('11. k'!D16="","",VLOOKUP(Tabulka98[[#This Row],[Sloupec1]],Tabulka381114263238445056626874[[Tým]:[Body]],6,FALSE))</f>
        <v/>
      </c>
      <c r="N67" s="256" t="str">
        <f>IF('12. k'!D16="","",VLOOKUP(Tabulka98[[#This Row],[Sloupec1]],Tabulka38111426323844505662687480[[Tým]:[Body]],6,FALSE))</f>
        <v/>
      </c>
      <c r="O67" s="256" t="str">
        <f>IF('13. k'!D16="","",VLOOKUP(Tabulka98[[#This Row],[Sloupec1]],Tabulka3811142632384450566268748086[[Tým]:[Body]],6,FALSE))</f>
        <v/>
      </c>
      <c r="P67" s="256" t="str">
        <f>IF('14. k'!$D$4="","",VLOOKUP(Tabulka98[[#This Row],[Sloupec1]],Tabulka381114263238445056626874808692[[Tým]:[Body]],6,FALSE))</f>
        <v/>
      </c>
      <c r="Q67" s="258" t="str">
        <f>IF('15. k'!D16="","",VLOOKUP(Tabulka98[[#This Row],[Sloupec1]],Tabulka38111426323844505662687480869298[[Tým]:[Body]],6,FALSE))</f>
        <v/>
      </c>
      <c r="R67" s="263">
        <f>SUM(Tabulka98[[#This Row],[Sloupec2]:[Sloupec16]])</f>
        <v>66</v>
      </c>
      <c r="S67" s="278">
        <f>_xlfn.RANK.EQ(Tabulka98[[#This Row],[Sloupec17]],Tabulka98[Sloupec17],0)</f>
        <v>17</v>
      </c>
    </row>
    <row r="68" spans="2:19" ht="21" x14ac:dyDescent="0.35">
      <c r="B68" s="218" t="s">
        <v>24</v>
      </c>
      <c r="C68" s="201">
        <f>IF('1. k'!$D$4="","",VLOOKUP(Tabulka98[[#This Row],[Sloupec1]],Tabulka38111420[[Tým]:[Body]],6,FALSE))</f>
        <v>5</v>
      </c>
      <c r="D68" s="195">
        <f>IF('2. k'!$D$4="","",VLOOKUP(Tabulka98[[#This Row],[Sloupec1]],Tabulka381114[[Tým]:[Body]],6,FALSE))</f>
        <v>9</v>
      </c>
      <c r="E68" s="195">
        <f>IF('3. k'!$D$4="","",VLOOKUP(Tabulka98[[#This Row],[Sloupec1]],Tabulka38111426[[Tým]:[Body]],6,FALSE))</f>
        <v>18</v>
      </c>
      <c r="F68" s="195">
        <f>IF('4. k'!$D$4="","",VLOOKUP(Tabulka98[[#This Row],[Sloupec1]],Tabulka3811142632[[Tým]:[Body]],6,FALSE))</f>
        <v>9</v>
      </c>
      <c r="G68" s="256">
        <f>IF('5. k'!D21="","",VLOOKUP(Tabulka98[[#This Row],[Sloupec1]],Tabulka381114263238[[Tým]:[Body]],6,FALSE))</f>
        <v>14</v>
      </c>
      <c r="H68" s="256">
        <f>IF('6. k'!D21="","",VLOOKUP(Tabulka98[[#This Row],[Sloupec1]],Tabulka38111426323844[[Tým]:[Body]],6,FALSE))</f>
        <v>15</v>
      </c>
      <c r="I68" s="256">
        <f>IF('7. k'!D21="","",VLOOKUP(Tabulka98[[#This Row],[Sloupec1]],Tabulka3811142632384450[[Tým]:[Body]],6,FALSE))</f>
        <v>22</v>
      </c>
      <c r="J68" s="256" t="str">
        <f>IF('8. k'!D21="","",VLOOKUP(Tabulka98[[#This Row],[Sloupec1]],Tabulka381114263238445056[[Tým]:[Body]],6,FALSE))</f>
        <v/>
      </c>
      <c r="K68" s="256" t="str">
        <f>IF('9. k'!D21="","",VLOOKUP(Tabulka98[[#This Row],[Sloupec1]],Tabulka38111426323844505662[[Tým]:[Body]],6,FALSE))</f>
        <v/>
      </c>
      <c r="L68" s="256" t="str">
        <f>IF('10. k'!D21="","",VLOOKUP(Tabulka98[[#This Row],[Sloupec1]],Tabulka3811142632384450566268[[Tým]:[Body]],6,FALSE))</f>
        <v/>
      </c>
      <c r="M68" s="256" t="str">
        <f>IF('11. k'!D21="","",VLOOKUP(Tabulka98[[#This Row],[Sloupec1]],Tabulka381114263238445056626874[[Tým]:[Body]],6,FALSE))</f>
        <v/>
      </c>
      <c r="N68" s="256" t="str">
        <f>IF('12. k'!D21="","",VLOOKUP(Tabulka98[[#This Row],[Sloupec1]],Tabulka38111426323844505662687480[[Tým]:[Body]],6,FALSE))</f>
        <v/>
      </c>
      <c r="O68" s="256" t="str">
        <f>IF('13. k'!D21="","",VLOOKUP(Tabulka98[[#This Row],[Sloupec1]],Tabulka3811142632384450566268748086[[Tým]:[Body]],6,FALSE))</f>
        <v/>
      </c>
      <c r="P68" s="256" t="str">
        <f>IF('14. k'!$D$4="","",VLOOKUP(Tabulka98[[#This Row],[Sloupec1]],Tabulka381114263238445056626874808692[[Tým]:[Body]],6,FALSE))</f>
        <v/>
      </c>
      <c r="Q68" s="258" t="str">
        <f>IF('15. k'!D21="","",VLOOKUP(Tabulka98[[#This Row],[Sloupec1]],Tabulka38111426323844505662687480869298[[Tým]:[Body]],6,FALSE))</f>
        <v/>
      </c>
      <c r="R68" s="263">
        <f>SUM(Tabulka98[[#This Row],[Sloupec2]:[Sloupec16]])</f>
        <v>92</v>
      </c>
      <c r="S68" s="278">
        <f>_xlfn.RANK.EQ(Tabulka98[[#This Row],[Sloupec17]],Tabulka98[Sloupec17],0)</f>
        <v>12</v>
      </c>
    </row>
    <row r="69" spans="2:19" ht="21" x14ac:dyDescent="0.35">
      <c r="B69" s="218" t="s">
        <v>6</v>
      </c>
      <c r="C69" s="201">
        <f>IF('1. k'!$D$4="","",VLOOKUP(Tabulka98[[#This Row],[Sloupec1]],Tabulka38111420[[Tým]:[Body]],6,FALSE))</f>
        <v>15</v>
      </c>
      <c r="D69" s="195">
        <f>IF('2. k'!$D$4="","",VLOOKUP(Tabulka98[[#This Row],[Sloupec1]],Tabulka381114[[Tým]:[Body]],6,FALSE))</f>
        <v>13</v>
      </c>
      <c r="E69" s="195">
        <f>IF('3. k'!$D$4="","",VLOOKUP(Tabulka98[[#This Row],[Sloupec1]],Tabulka38111426[[Tým]:[Body]],6,FALSE))</f>
        <v>13</v>
      </c>
      <c r="F69" s="195">
        <f>IF('4. k'!$D$4="","",VLOOKUP(Tabulka98[[#This Row],[Sloupec1]],Tabulka3811142632[[Tým]:[Body]],6,FALSE))</f>
        <v>13</v>
      </c>
      <c r="G69" s="256">
        <f>IF('5. k'!D13="","",VLOOKUP(Tabulka98[[#This Row],[Sloupec1]],Tabulka381114263238[[Tým]:[Body]],6,FALSE))</f>
        <v>0</v>
      </c>
      <c r="H69" s="256">
        <f>IF('6. k'!D13="","",VLOOKUP(Tabulka98[[#This Row],[Sloupec1]],Tabulka38111426323844[[Tým]:[Body]],6,FALSE))</f>
        <v>14</v>
      </c>
      <c r="I69" s="256">
        <f>IF('7. k'!D13="","",VLOOKUP(Tabulka98[[#This Row],[Sloupec1]],Tabulka3811142632384450[[Tým]:[Body]],6,FALSE))</f>
        <v>0</v>
      </c>
      <c r="J69" s="256" t="str">
        <f>IF('8. k'!D13="","",VLOOKUP(Tabulka98[[#This Row],[Sloupec1]],Tabulka381114263238445056[[Tým]:[Body]],6,FALSE))</f>
        <v/>
      </c>
      <c r="K69" s="256" t="str">
        <f>IF('9. k'!D13="","",VLOOKUP(Tabulka98[[#This Row],[Sloupec1]],Tabulka38111426323844505662[[Tým]:[Body]],6,FALSE))</f>
        <v/>
      </c>
      <c r="L69" s="256" t="str">
        <f>IF('10. k'!D13="","",VLOOKUP(Tabulka98[[#This Row],[Sloupec1]],Tabulka3811142632384450566268[[Tým]:[Body]],6,FALSE))</f>
        <v/>
      </c>
      <c r="M69" s="256" t="str">
        <f>IF('11. k'!D13="","",VLOOKUP(Tabulka98[[#This Row],[Sloupec1]],Tabulka381114263238445056626874[[Tým]:[Body]],6,FALSE))</f>
        <v/>
      </c>
      <c r="N69" s="256" t="str">
        <f>IF('12. k'!D13="","",VLOOKUP(Tabulka98[[#This Row],[Sloupec1]],Tabulka38111426323844505662687480[[Tým]:[Body]],6,FALSE))</f>
        <v/>
      </c>
      <c r="O69" s="256" t="str">
        <f>IF('13. k'!D13="","",VLOOKUP(Tabulka98[[#This Row],[Sloupec1]],Tabulka3811142632384450566268748086[[Tým]:[Body]],6,FALSE))</f>
        <v/>
      </c>
      <c r="P69" s="256" t="str">
        <f>IF('14. k'!$D$4="","",VLOOKUP(Tabulka98[[#This Row],[Sloupec1]],Tabulka381114263238445056626874808692[[Tým]:[Body]],6,FALSE))</f>
        <v/>
      </c>
      <c r="Q69" s="258" t="str">
        <f>IF('15. k'!D13="","",VLOOKUP(Tabulka98[[#This Row],[Sloupec1]],Tabulka38111426323844505662687480869298[[Tým]:[Body]],6,FALSE))</f>
        <v/>
      </c>
      <c r="R69" s="263">
        <f>SUM(Tabulka98[[#This Row],[Sloupec2]:[Sloupec16]])</f>
        <v>68</v>
      </c>
      <c r="S69" s="278">
        <f>_xlfn.RANK.EQ(Tabulka98[[#This Row],[Sloupec17]],Tabulka98[Sloupec17],0)</f>
        <v>16</v>
      </c>
    </row>
    <row r="70" spans="2:19" ht="21" x14ac:dyDescent="0.35">
      <c r="B70" s="219" t="s">
        <v>33</v>
      </c>
      <c r="C70" s="201">
        <f>IF('1. k'!$D$4="","",VLOOKUP(Tabulka98[[#This Row],[Sloupec1]],Tabulka38111420[[Tým]:[Body]],6,FALSE))</f>
        <v>5</v>
      </c>
      <c r="D70" s="195">
        <f>IF('2. k'!$D$4="","",VLOOKUP(Tabulka98[[#This Row],[Sloupec1]],Tabulka381114[[Tým]:[Body]],6,FALSE))</f>
        <v>12</v>
      </c>
      <c r="E70" s="195">
        <f>IF('3. k'!$D$4="","",VLOOKUP(Tabulka98[[#This Row],[Sloupec1]],Tabulka38111426[[Tým]:[Body]],6,FALSE))</f>
        <v>12</v>
      </c>
      <c r="F70" s="195">
        <f>IF('4. k'!$D$4="","",VLOOKUP(Tabulka98[[#This Row],[Sloupec1]],Tabulka3811142632[[Tým]:[Body]],6,FALSE))</f>
        <v>14</v>
      </c>
      <c r="G70" s="256">
        <f>IF('5. k'!D19="","",VLOOKUP(Tabulka98[[#This Row],[Sloupec1]],Tabulka381114263238[[Tým]:[Body]],6,FALSE))</f>
        <v>5</v>
      </c>
      <c r="H70" s="256">
        <f>IF('6. k'!D19="","",VLOOKUP(Tabulka98[[#This Row],[Sloupec1]],Tabulka38111426323844[[Tým]:[Body]],6,FALSE))</f>
        <v>7</v>
      </c>
      <c r="I70" s="256">
        <f>IF('7. k'!D19="","",VLOOKUP(Tabulka98[[#This Row],[Sloupec1]],Tabulka3811142632384450[[Tým]:[Body]],6,FALSE))</f>
        <v>14</v>
      </c>
      <c r="J70" s="256" t="str">
        <f>IF('8. k'!D19="","",VLOOKUP(Tabulka98[[#This Row],[Sloupec1]],Tabulka381114263238445056[[Tým]:[Body]],6,FALSE))</f>
        <v/>
      </c>
      <c r="K70" s="256" t="str">
        <f>IF('9. k'!D19="","",VLOOKUP(Tabulka98[[#This Row],[Sloupec1]],Tabulka38111426323844505662[[Tým]:[Body]],6,FALSE))</f>
        <v/>
      </c>
      <c r="L70" s="256" t="str">
        <f>IF('10. k'!D19="","",VLOOKUP(Tabulka98[[#This Row],[Sloupec1]],Tabulka3811142632384450566268[[Tým]:[Body]],6,FALSE))</f>
        <v/>
      </c>
      <c r="M70" s="256" t="str">
        <f>IF('11. k'!D19="","",VLOOKUP(Tabulka98[[#This Row],[Sloupec1]],Tabulka381114263238445056626874[[Tým]:[Body]],6,FALSE))</f>
        <v/>
      </c>
      <c r="N70" s="256" t="str">
        <f>IF('12. k'!D19="","",VLOOKUP(Tabulka98[[#This Row],[Sloupec1]],Tabulka38111426323844505662687480[[Tým]:[Body]],6,FALSE))</f>
        <v/>
      </c>
      <c r="O70" s="256" t="str">
        <f>IF('13. k'!D19="","",VLOOKUP(Tabulka98[[#This Row],[Sloupec1]],Tabulka3811142632384450566268748086[[Tým]:[Body]],6,FALSE))</f>
        <v/>
      </c>
      <c r="P70" s="256" t="str">
        <f>IF('14. k'!$D$4="","",VLOOKUP(Tabulka98[[#This Row],[Sloupec1]],Tabulka381114263238445056626874808692[[Tým]:[Body]],6,FALSE))</f>
        <v/>
      </c>
      <c r="Q70" s="258" t="str">
        <f>IF('15. k'!D19="","",VLOOKUP(Tabulka98[[#This Row],[Sloupec1]],Tabulka38111426323844505662687480869298[[Tým]:[Body]],6,FALSE))</f>
        <v/>
      </c>
      <c r="R70" s="263">
        <f>SUM(Tabulka98[[#This Row],[Sloupec2]:[Sloupec16]])</f>
        <v>69</v>
      </c>
      <c r="S70" s="278">
        <f>_xlfn.RANK.EQ(Tabulka98[[#This Row],[Sloupec17]],Tabulka98[Sloupec17],0)</f>
        <v>15</v>
      </c>
    </row>
    <row r="71" spans="2:19" ht="21" x14ac:dyDescent="0.35">
      <c r="B71" s="218" t="s">
        <v>31</v>
      </c>
      <c r="C71" s="201">
        <f>IF('1. k'!$D$4="","",VLOOKUP(Tabulka98[[#This Row],[Sloupec1]],Tabulka38111420[[Tým]:[Body]],6,FALSE))</f>
        <v>14</v>
      </c>
      <c r="D71" s="195">
        <f>IF('2. k'!$D$4="","",VLOOKUP(Tabulka98[[#This Row],[Sloupec1]],Tabulka381114[[Tým]:[Body]],6,FALSE))</f>
        <v>15</v>
      </c>
      <c r="E71" s="195">
        <f>IF('3. k'!$D$4="","",VLOOKUP(Tabulka98[[#This Row],[Sloupec1]],Tabulka38111426[[Tým]:[Body]],6,FALSE))</f>
        <v>8</v>
      </c>
      <c r="F71" s="195">
        <f>IF('4. k'!$D$4="","",VLOOKUP(Tabulka98[[#This Row],[Sloupec1]],Tabulka3811142632[[Tým]:[Body]],6,FALSE))</f>
        <v>0</v>
      </c>
      <c r="G71" s="256">
        <f>IF('5. k'!D14="","",VLOOKUP(Tabulka98[[#This Row],[Sloupec1]],Tabulka381114263238[[Tým]:[Body]],6,FALSE))</f>
        <v>5</v>
      </c>
      <c r="H71" s="256">
        <f>IF('6. k'!D14="","",VLOOKUP(Tabulka98[[#This Row],[Sloupec1]],Tabulka38111426323844[[Tým]:[Body]],6,FALSE))</f>
        <v>10</v>
      </c>
      <c r="I71" s="256">
        <f>IF('7. k'!D14="","",VLOOKUP(Tabulka98[[#This Row],[Sloupec1]],Tabulka3811142632384450[[Tým]:[Body]],6,FALSE))</f>
        <v>10</v>
      </c>
      <c r="J71" s="256" t="str">
        <f>IF('8. k'!D14="","",VLOOKUP(Tabulka98[[#This Row],[Sloupec1]],Tabulka381114263238445056[[Tým]:[Body]],6,FALSE))</f>
        <v/>
      </c>
      <c r="K71" s="256" t="str">
        <f>IF('9. k'!D14="","",VLOOKUP(Tabulka98[[#This Row],[Sloupec1]],Tabulka38111426323844505662[[Tým]:[Body]],6,FALSE))</f>
        <v/>
      </c>
      <c r="L71" s="256" t="str">
        <f>IF('10. k'!D14="","",VLOOKUP(Tabulka98[[#This Row],[Sloupec1]],Tabulka3811142632384450566268[[Tým]:[Body]],6,FALSE))</f>
        <v/>
      </c>
      <c r="M71" s="256" t="str">
        <f>IF('11. k'!D14="","",VLOOKUP(Tabulka98[[#This Row],[Sloupec1]],Tabulka381114263238445056626874[[Tým]:[Body]],6,FALSE))</f>
        <v/>
      </c>
      <c r="N71" s="256" t="str">
        <f>IF('12. k'!D14="","",VLOOKUP(Tabulka98[[#This Row],[Sloupec1]],Tabulka38111426323844505662687480[[Tým]:[Body]],6,FALSE))</f>
        <v/>
      </c>
      <c r="O71" s="256" t="str">
        <f>IF('13. k'!D14="","",VLOOKUP(Tabulka98[[#This Row],[Sloupec1]],Tabulka3811142632384450566268748086[[Tým]:[Body]],6,FALSE))</f>
        <v/>
      </c>
      <c r="P71" s="256" t="str">
        <f>IF('14. k'!$D$4="","",VLOOKUP(Tabulka98[[#This Row],[Sloupec1]],Tabulka381114263238445056626874808692[[Tým]:[Body]],6,FALSE))</f>
        <v/>
      </c>
      <c r="Q71" s="258" t="str">
        <f>IF('15. k'!D14="","",VLOOKUP(Tabulka98[[#This Row],[Sloupec1]],Tabulka38111426323844505662687480869298[[Tým]:[Body]],6,FALSE))</f>
        <v/>
      </c>
      <c r="R71" s="263">
        <f>SUM(Tabulka98[[#This Row],[Sloupec2]:[Sloupec16]])</f>
        <v>62</v>
      </c>
      <c r="S71" s="278">
        <f>_xlfn.RANK.EQ(Tabulka98[[#This Row],[Sloupec17]],Tabulka98[Sloupec17],0)</f>
        <v>18</v>
      </c>
    </row>
    <row r="72" spans="2:19" ht="21.75" thickBot="1" x14ac:dyDescent="0.4">
      <c r="B72" s="220" t="s">
        <v>17</v>
      </c>
      <c r="C72" s="202">
        <f>IF('1. k'!$D$4="","",VLOOKUP(Tabulka98[[#This Row],[Sloupec1]],Tabulka38111420[[Tým]:[Body]],6,FALSE))</f>
        <v>5</v>
      </c>
      <c r="D72" s="197">
        <f>IF('2. k'!$D$4="","",VLOOKUP(Tabulka98[[#This Row],[Sloupec1]],Tabulka381114[[Tým]:[Body]],6,FALSE))</f>
        <v>14</v>
      </c>
      <c r="E72" s="197">
        <f>IF('3. k'!$D$4="","",VLOOKUP(Tabulka98[[#This Row],[Sloupec1]],Tabulka38111426[[Tým]:[Body]],6,FALSE))</f>
        <v>0</v>
      </c>
      <c r="F72" s="197">
        <f>IF('4. k'!$D$4="","",VLOOKUP(Tabulka98[[#This Row],[Sloupec1]],Tabulka3811142632[[Tým]:[Body]],6,FALSE))</f>
        <v>0</v>
      </c>
      <c r="G72" s="257">
        <f>IF('5. k'!D20="","",VLOOKUP(Tabulka98[[#This Row],[Sloupec1]],Tabulka381114263238[[Tým]:[Body]],6,FALSE))</f>
        <v>11</v>
      </c>
      <c r="H72" s="257">
        <f>IF('6. k'!D20="","",VLOOKUP(Tabulka98[[#This Row],[Sloupec1]],Tabulka38111426323844[[Tým]:[Body]],6,FALSE))</f>
        <v>6</v>
      </c>
      <c r="I72" s="257">
        <f>IF('7. k'!D20="","",VLOOKUP(Tabulka98[[#This Row],[Sloupec1]],Tabulka3811142632384450[[Tým]:[Body]],6,FALSE))</f>
        <v>13</v>
      </c>
      <c r="J72" s="257" t="str">
        <f>IF('8. k'!D20="","",VLOOKUP(Tabulka98[[#This Row],[Sloupec1]],Tabulka381114263238445056[[Tým]:[Body]],6,FALSE))</f>
        <v/>
      </c>
      <c r="K72" s="257" t="str">
        <f>IF('9. k'!D20="","",VLOOKUP(Tabulka98[[#This Row],[Sloupec1]],Tabulka38111426323844505662[[Tým]:[Body]],6,FALSE))</f>
        <v/>
      </c>
      <c r="L72" s="257" t="str">
        <f>IF('10. k'!D20="","",VLOOKUP(Tabulka98[[#This Row],[Sloupec1]],Tabulka3811142632384450566268[[Tým]:[Body]],6,FALSE))</f>
        <v/>
      </c>
      <c r="M72" s="257" t="str">
        <f>IF('11. k'!D20="","",VLOOKUP(Tabulka98[[#This Row],[Sloupec1]],Tabulka381114263238445056626874[[Tým]:[Body]],6,FALSE))</f>
        <v/>
      </c>
      <c r="N72" s="257" t="str">
        <f>IF('12. k'!D20="","",VLOOKUP(Tabulka98[[#This Row],[Sloupec1]],Tabulka38111426323844505662687480[[Tým]:[Body]],6,FALSE))</f>
        <v/>
      </c>
      <c r="O72" s="257" t="str">
        <f>IF('13. k'!D20="","",VLOOKUP(Tabulka98[[#This Row],[Sloupec1]],Tabulka3811142632384450566268748086[[Tým]:[Body]],6,FALSE))</f>
        <v/>
      </c>
      <c r="P72" s="257" t="str">
        <f>IF('14. k'!$D$4="","",VLOOKUP(Tabulka98[[#This Row],[Sloupec1]],Tabulka381114263238445056626874808692[[Tým]:[Body]],6,FALSE))</f>
        <v/>
      </c>
      <c r="Q72" s="261" t="str">
        <f>IF('15. k'!D20="","",VLOOKUP(Tabulka98[[#This Row],[Sloupec1]],Tabulka38111426323844505662687480869298[[Tým]:[Body]],6,FALSE))</f>
        <v/>
      </c>
      <c r="R72" s="264">
        <f>SUM(Tabulka98[[#This Row],[Sloupec2]:[Sloupec16]])</f>
        <v>49</v>
      </c>
      <c r="S72" s="279">
        <f>_xlfn.RANK.EQ(Tabulka98[[#This Row],[Sloupec17]],Tabulka98[Sloupec17],0)</f>
        <v>19</v>
      </c>
    </row>
    <row r="75" spans="2:19" ht="15.75" thickBot="1" x14ac:dyDescent="0.3"/>
    <row r="76" spans="2:19" ht="21.75" thickBot="1" x14ac:dyDescent="0.4">
      <c r="B76" s="299" t="s">
        <v>124</v>
      </c>
      <c r="C76" s="300"/>
      <c r="D76" s="300"/>
      <c r="E76" s="300"/>
      <c r="F76" s="300"/>
      <c r="G76" s="300"/>
      <c r="H76" s="300"/>
      <c r="I76" s="300"/>
      <c r="J76" s="300"/>
      <c r="K76" s="300"/>
      <c r="L76" s="300"/>
      <c r="M76" s="300"/>
      <c r="N76" s="300"/>
      <c r="O76" s="300"/>
      <c r="P76" s="300"/>
      <c r="Q76" s="300"/>
      <c r="R76" s="300"/>
      <c r="S76" s="301"/>
    </row>
    <row r="77" spans="2:19" ht="21.75" thickBot="1" x14ac:dyDescent="0.4">
      <c r="B77" s="205"/>
      <c r="C77" s="206" t="str">
        <f>C51</f>
        <v>Píšť</v>
      </c>
      <c r="D77" s="207" t="str">
        <f t="shared" ref="D77" si="2">D51</f>
        <v>Svoboda</v>
      </c>
      <c r="E77" s="207" t="str">
        <f t="shared" ref="E77:Q77" si="3">E51</f>
        <v>Rohov</v>
      </c>
      <c r="F77" s="207" t="str">
        <f t="shared" si="3"/>
        <v>Markvartovice</v>
      </c>
      <c r="G77" s="207" t="str">
        <f t="shared" si="3"/>
        <v>Bělá</v>
      </c>
      <c r="H77" s="207" t="str">
        <f t="shared" si="3"/>
        <v>Závada</v>
      </c>
      <c r="I77" s="207" t="str">
        <f t="shared" si="3"/>
        <v>Bohuslavice</v>
      </c>
      <c r="J77" s="207" t="str">
        <f t="shared" si="3"/>
        <v>Kozmice</v>
      </c>
      <c r="K77" s="207" t="str">
        <f t="shared" si="3"/>
        <v>Štěpánkovice</v>
      </c>
      <c r="L77" s="207" t="str">
        <f t="shared" si="3"/>
        <v>Strahovice</v>
      </c>
      <c r="M77" s="207" t="str">
        <f t="shared" si="3"/>
        <v>Služovice</v>
      </c>
      <c r="N77" s="207" t="str">
        <f t="shared" si="3"/>
        <v>Vřesina</v>
      </c>
      <c r="O77" s="207" t="str">
        <f t="shared" si="3"/>
        <v/>
      </c>
      <c r="P77" s="207" t="str">
        <f t="shared" si="3"/>
        <v/>
      </c>
      <c r="Q77" s="208" t="str">
        <f t="shared" si="3"/>
        <v/>
      </c>
      <c r="R77" s="267" t="s">
        <v>121</v>
      </c>
      <c r="S77" s="268" t="s">
        <v>122</v>
      </c>
    </row>
    <row r="78" spans="2:19" ht="21" hidden="1" x14ac:dyDescent="0.35">
      <c r="B78" s="212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4"/>
    </row>
    <row r="79" spans="2:19" ht="21.75" hidden="1" thickBot="1" x14ac:dyDescent="0.4">
      <c r="B79" s="213" t="s">
        <v>73</v>
      </c>
      <c r="C79" s="195" t="s">
        <v>74</v>
      </c>
      <c r="D79" s="195" t="s">
        <v>75</v>
      </c>
      <c r="E79" s="195" t="s">
        <v>76</v>
      </c>
      <c r="F79" s="195" t="s">
        <v>77</v>
      </c>
      <c r="G79" s="195" t="s">
        <v>78</v>
      </c>
      <c r="H79" s="195" t="s">
        <v>79</v>
      </c>
      <c r="I79" s="195" t="s">
        <v>80</v>
      </c>
      <c r="J79" s="195" t="s">
        <v>81</v>
      </c>
      <c r="K79" s="195" t="s">
        <v>82</v>
      </c>
      <c r="L79" s="195" t="s">
        <v>83</v>
      </c>
      <c r="M79" s="195" t="s">
        <v>84</v>
      </c>
      <c r="N79" s="195" t="s">
        <v>85</v>
      </c>
      <c r="O79" s="195" t="s">
        <v>86</v>
      </c>
      <c r="P79" s="195" t="s">
        <v>87</v>
      </c>
      <c r="Q79" s="196" t="s">
        <v>88</v>
      </c>
      <c r="R79" s="259" t="s">
        <v>119</v>
      </c>
      <c r="S79" s="259" t="s">
        <v>123</v>
      </c>
    </row>
    <row r="80" spans="2:19" ht="21" x14ac:dyDescent="0.35">
      <c r="B80" s="209" t="s">
        <v>22</v>
      </c>
      <c r="C80" s="201">
        <f>IF('1. k'!P6="","",VLOOKUP(Tabulka1012[[#This Row],[Sloupec1]],Tabulka381114222[[Tým]:[Body]],6,FALSE))</f>
        <v>13</v>
      </c>
      <c r="D80" s="195">
        <f>IF('2. k'!P6="","",VLOOKUP(Tabulka1012[[#This Row],[Sloupec1]],Tabulka3811142[[Tým]:[Body]],6,FALSE))</f>
        <v>14</v>
      </c>
      <c r="E80" s="195">
        <f>IF('3. k'!P6="","",VLOOKUP(Tabulka1012[[#This Row],[Sloupec1]],Tabulka381114228[[Tým]:[Body]],6,FALSE))</f>
        <v>15</v>
      </c>
      <c r="F80" s="195">
        <f>IF('4. k'!P6="","",VLOOKUP(Tabulka1012[[#This Row],[Sloupec1]],Tabulka38111422834[[Tým]:[Body]],6,FALSE))</f>
        <v>15</v>
      </c>
      <c r="G80" s="248">
        <f>IF('5. k'!P6="","",VLOOKUP(Tabulka1012[[#This Row],[Sloupec1]],Tabulka3811142283440[[Tým]:[Body]],6,FALSE))</f>
        <v>15</v>
      </c>
      <c r="H80" s="248">
        <f>IF('6. k'!P6="","",VLOOKUP(Tabulka1012[[#This Row],[Sloupec1]],Tabulka381114228344046[[Tým]:[Body]],6,FALSE))</f>
        <v>14</v>
      </c>
      <c r="I80" s="248">
        <f>IF('7. k'!P6="","",VLOOKUP(Tabulka1012[[#This Row],[Sloupec1]],Tabulka38111422834404652[[Tým]:[Body]],6,FALSE))</f>
        <v>15</v>
      </c>
      <c r="J80" s="248" t="str">
        <f>IF('8. k'!P6="","",VLOOKUP(Tabulka1012[[#This Row],[Sloupec1]],Tabulka3811142283440465258[[Tým]:[Body]],6,FALSE))</f>
        <v/>
      </c>
      <c r="K80" s="248" t="str">
        <f>IF('9. k'!P6="","",VLOOKUP(Tabulka1012[[#This Row],[Sloupec1]],Tabulka381114228344046525864[[Tým]:[Body]],6,FALSE))</f>
        <v/>
      </c>
      <c r="L80" s="248" t="str">
        <f>IF('10. k'!P6="","",VLOOKUP(Tabulka1012[[#This Row],[Sloupec1]],Tabulka38111422834404652586470[[Tým]:[Body]],6,FALSE))</f>
        <v/>
      </c>
      <c r="M80" s="248" t="str">
        <f>IF('11. k'!P6="","",VLOOKUP(Tabulka1012[[#This Row],[Sloupec1]],Tabulka3811142283440465258647076[[Tým]:[Body]],6,FALSE))</f>
        <v/>
      </c>
      <c r="N80" s="248" t="str">
        <f>IF('12. k'!P6="","",VLOOKUP(Tabulka1012[[#This Row],[Sloupec1]],Tabulka381114228344046525864707682[[Tým]:[Body]],6,FALSE))</f>
        <v/>
      </c>
      <c r="O80" s="195" t="str">
        <f>IF('13. k'!P6="","",VLOOKUP(Tabulka1012[[#This Row],[Sloupec1]],Tabulka38111422834404652586470768288[[Tým]:[Body]],6,FALSE))</f>
        <v/>
      </c>
      <c r="P80" s="195" t="str">
        <f>IF('14. k'!$P$4="","",VLOOKUP(Tabulka1012[[#This Row],[Sloupec1]],Tabulka3811142283440465258647076828894[[Tým]:[Body]],6,FALSE))</f>
        <v/>
      </c>
      <c r="Q80" s="269" t="str">
        <f>IF('15. k'!P6="","",VLOOKUP(Tabulka1012[[#This Row],[Sloupec1]],Tabulka3811142283440465258647076828894100[[Tým]:[Body]],6,FALSE))</f>
        <v/>
      </c>
      <c r="R80" s="271">
        <f>SUM(Tabulka1012[[#This Row],[Sloupec2]:[Sloupec16]])</f>
        <v>101</v>
      </c>
      <c r="S80" s="274">
        <f>_xlfn.RANK.EQ(Tabulka1012[[#This Row],[Sloupec17]],Tabulka1012[Sloupec17],0)</f>
        <v>1</v>
      </c>
    </row>
    <row r="81" spans="2:19" ht="21" x14ac:dyDescent="0.35">
      <c r="B81" s="210" t="s">
        <v>34</v>
      </c>
      <c r="C81" s="201">
        <f>IF('1. k'!P4="","",VLOOKUP(Tabulka1012[[#This Row],[Sloupec1]],Tabulka381114222[[Tým]:[Body]],6,FALSE))</f>
        <v>15</v>
      </c>
      <c r="D81" s="195">
        <f>IF('2. k'!P4="","",VLOOKUP(Tabulka1012[[#This Row],[Sloupec1]],Tabulka3811142[[Tým]:[Body]],6,FALSE))</f>
        <v>15</v>
      </c>
      <c r="E81" s="195">
        <f>IF('3. k'!P4="","",VLOOKUP(Tabulka1012[[#This Row],[Sloupec1]],Tabulka381114228[[Tým]:[Body]],6,FALSE))</f>
        <v>13</v>
      </c>
      <c r="F81" s="195">
        <f>IF('4. k'!P4="","",VLOOKUP(Tabulka1012[[#This Row],[Sloupec1]],Tabulka38111422834[[Tým]:[Body]],6,FALSE))</f>
        <v>14</v>
      </c>
      <c r="G81" s="248">
        <f>IF('5. k'!P4="","",VLOOKUP(Tabulka1012[[#This Row],[Sloupec1]],Tabulka3811142283440[[Tým]:[Body]],6,FALSE))</f>
        <v>13</v>
      </c>
      <c r="H81" s="248">
        <f>IF('6. k'!P4="","",VLOOKUP(Tabulka1012[[#This Row],[Sloupec1]],Tabulka381114228344046[[Tým]:[Body]],6,FALSE))</f>
        <v>15</v>
      </c>
      <c r="I81" s="248">
        <f>IF('7. k'!P4="","",VLOOKUP(Tabulka1012[[#This Row],[Sloupec1]],Tabulka38111422834404652[[Tým]:[Body]],6,FALSE))</f>
        <v>14</v>
      </c>
      <c r="J81" s="248" t="str">
        <f>IF('8. k'!P4="","",VLOOKUP(Tabulka1012[[#This Row],[Sloupec1]],Tabulka3811142283440465258[[Tým]:[Body]],6,FALSE))</f>
        <v/>
      </c>
      <c r="K81" s="248" t="str">
        <f>IF('9. k'!P4="","",VLOOKUP(Tabulka1012[[#This Row],[Sloupec1]],Tabulka381114228344046525864[[Tým]:[Body]],6,FALSE))</f>
        <v/>
      </c>
      <c r="L81" s="248" t="str">
        <f>IF('10. k'!P4="","",VLOOKUP(Tabulka1012[[#This Row],[Sloupec1]],Tabulka38111422834404652586470[[Tým]:[Body]],6,FALSE))</f>
        <v/>
      </c>
      <c r="M81" s="248" t="str">
        <f>IF('11. k'!P4="","",VLOOKUP(Tabulka1012[[#This Row],[Sloupec1]],Tabulka3811142283440465258647076[[Tým]:[Body]],6,FALSE))</f>
        <v/>
      </c>
      <c r="N81" s="248" t="str">
        <f>IF('12. k'!P4="","",VLOOKUP(Tabulka1012[[#This Row],[Sloupec1]],Tabulka381114228344046525864707682[[Tým]:[Body]],6,FALSE))</f>
        <v/>
      </c>
      <c r="O81" s="195" t="str">
        <f>IF('13. k'!P4="","",VLOOKUP(Tabulka1012[[#This Row],[Sloupec1]],Tabulka38111422834404652586470768288[[Tým]:[Body]],6,FALSE))</f>
        <v/>
      </c>
      <c r="P81" s="195" t="str">
        <f>IF('14. k'!$P$4="","",VLOOKUP(Tabulka1012[[#This Row],[Sloupec1]],Tabulka3811142283440465258647076828894[[Tým]:[Body]],6,FALSE))</f>
        <v/>
      </c>
      <c r="Q81" s="269" t="str">
        <f>IF('15. k'!P4="","",VLOOKUP(Tabulka1012[[#This Row],[Sloupec1]],Tabulka3811142283440465258647076828894100[[Tým]:[Body]],6,FALSE))</f>
        <v/>
      </c>
      <c r="R81" s="272">
        <f>SUM(Tabulka1012[[#This Row],[Sloupec2]:[Sloupec16]])</f>
        <v>99</v>
      </c>
      <c r="S81" s="275">
        <f>_xlfn.RANK.EQ(Tabulka1012[[#This Row],[Sloupec17]],Tabulka1012[Sloupec17],0)</f>
        <v>2</v>
      </c>
    </row>
    <row r="82" spans="2:19" ht="21" x14ac:dyDescent="0.35">
      <c r="B82" s="210" t="s">
        <v>35</v>
      </c>
      <c r="C82" s="201">
        <f>IF('1. k'!P5="","",VLOOKUP(Tabulka1012[[#This Row],[Sloupec1]],Tabulka381114222[[Tým]:[Body]],6,FALSE))</f>
        <v>14</v>
      </c>
      <c r="D82" s="195">
        <f>IF('2. k'!P5="","",VLOOKUP(Tabulka1012[[#This Row],[Sloupec1]],Tabulka3811142[[Tým]:[Body]],6,FALSE))</f>
        <v>11</v>
      </c>
      <c r="E82" s="195">
        <f>IF('3. k'!P5="","",VLOOKUP(Tabulka1012[[#This Row],[Sloupec1]],Tabulka381114228[[Tým]:[Body]],6,FALSE))</f>
        <v>14</v>
      </c>
      <c r="F82" s="195">
        <f>IF('4. k'!P5="","",VLOOKUP(Tabulka1012[[#This Row],[Sloupec1]],Tabulka38111422834[[Tým]:[Body]],6,FALSE))</f>
        <v>12</v>
      </c>
      <c r="G82" s="248">
        <f>IF('5. k'!P5="","",VLOOKUP(Tabulka1012[[#This Row],[Sloupec1]],Tabulka3811142283440[[Tým]:[Body]],6,FALSE))</f>
        <v>14</v>
      </c>
      <c r="H82" s="248">
        <f>IF('6. k'!P5="","",VLOOKUP(Tabulka1012[[#This Row],[Sloupec1]],Tabulka381114228344046[[Tým]:[Body]],6,FALSE))</f>
        <v>5</v>
      </c>
      <c r="I82" s="248">
        <f>IF('7. k'!P5="","",VLOOKUP(Tabulka1012[[#This Row],[Sloupec1]],Tabulka38111422834404652[[Tým]:[Body]],6,FALSE))</f>
        <v>11</v>
      </c>
      <c r="J82" s="248" t="str">
        <f>IF('8. k'!P5="","",VLOOKUP(Tabulka1012[[#This Row],[Sloupec1]],Tabulka3811142283440465258[[Tým]:[Body]],6,FALSE))</f>
        <v/>
      </c>
      <c r="K82" s="248" t="str">
        <f>IF('9. k'!P5="","",VLOOKUP(Tabulka1012[[#This Row],[Sloupec1]],Tabulka381114228344046525864[[Tým]:[Body]],6,FALSE))</f>
        <v/>
      </c>
      <c r="L82" s="248" t="str">
        <f>IF('10. k'!P5="","",VLOOKUP(Tabulka1012[[#This Row],[Sloupec1]],Tabulka38111422834404652586470[[Tým]:[Body]],6,FALSE))</f>
        <v/>
      </c>
      <c r="M82" s="248" t="str">
        <f>IF('11. k'!P5="","",VLOOKUP(Tabulka1012[[#This Row],[Sloupec1]],Tabulka3811142283440465258647076[[Tým]:[Body]],6,FALSE))</f>
        <v/>
      </c>
      <c r="N82" s="248" t="str">
        <f>IF('12. k'!P5="","",VLOOKUP(Tabulka1012[[#This Row],[Sloupec1]],Tabulka381114228344046525864707682[[Tým]:[Body]],6,FALSE))</f>
        <v/>
      </c>
      <c r="O82" s="195" t="str">
        <f>IF('13. k'!P5="","",VLOOKUP(Tabulka1012[[#This Row],[Sloupec1]],Tabulka38111422834404652586470768288[[Tým]:[Body]],6,FALSE))</f>
        <v/>
      </c>
      <c r="P82" s="195" t="str">
        <f>IF('14. k'!$P$4="","",VLOOKUP(Tabulka1012[[#This Row],[Sloupec1]],Tabulka3811142283440465258647076828894[[Tým]:[Body]],6,FALSE))</f>
        <v/>
      </c>
      <c r="Q82" s="269" t="str">
        <f>IF('15. k'!P5="","",VLOOKUP(Tabulka1012[[#This Row],[Sloupec1]],Tabulka3811142283440465258647076828894100[[Tým]:[Body]],6,FALSE))</f>
        <v/>
      </c>
      <c r="R82" s="272">
        <f>SUM(Tabulka1012[[#This Row],[Sloupec2]:[Sloupec16]])</f>
        <v>81</v>
      </c>
      <c r="S82" s="275">
        <f>_xlfn.RANK.EQ(Tabulka1012[[#This Row],[Sloupec17]],Tabulka1012[Sloupec17],0)</f>
        <v>3</v>
      </c>
    </row>
    <row r="83" spans="2:19" ht="21" x14ac:dyDescent="0.35">
      <c r="B83" s="210" t="s">
        <v>19</v>
      </c>
      <c r="C83" s="201">
        <f>IF('1. k'!P9="","",VLOOKUP(Tabulka1012[[#This Row],[Sloupec1]],Tabulka381114222[[Tým]:[Body]],6,FALSE))</f>
        <v>10</v>
      </c>
      <c r="D83" s="195">
        <f>IF('2. k'!P9="","",VLOOKUP(Tabulka1012[[#This Row],[Sloupec1]],Tabulka3811142[[Tým]:[Body]],6,FALSE))</f>
        <v>9</v>
      </c>
      <c r="E83" s="195">
        <f>IF('3. k'!P9="","",VLOOKUP(Tabulka1012[[#This Row],[Sloupec1]],Tabulka381114228[[Tým]:[Body]],6,FALSE))</f>
        <v>11</v>
      </c>
      <c r="F83" s="195">
        <f>IF('4. k'!P9="","",VLOOKUP(Tabulka1012[[#This Row],[Sloupec1]],Tabulka38111422834[[Tým]:[Body]],6,FALSE))</f>
        <v>13</v>
      </c>
      <c r="G83" s="248">
        <f>IF('5. k'!P9="","",VLOOKUP(Tabulka1012[[#This Row],[Sloupec1]],Tabulka3811142283440[[Tým]:[Body]],6,FALSE))</f>
        <v>11</v>
      </c>
      <c r="H83" s="248">
        <f>IF('6. k'!P9="","",VLOOKUP(Tabulka1012[[#This Row],[Sloupec1]],Tabulka381114228344046[[Tým]:[Body]],6,FALSE))</f>
        <v>10</v>
      </c>
      <c r="I83" s="248">
        <f>IF('7. k'!P9="","",VLOOKUP(Tabulka1012[[#This Row],[Sloupec1]],Tabulka38111422834404652[[Tým]:[Body]],6,FALSE))</f>
        <v>7</v>
      </c>
      <c r="J83" s="248" t="str">
        <f>IF('8. k'!P9="","",VLOOKUP(Tabulka1012[[#This Row],[Sloupec1]],Tabulka3811142283440465258[[Tým]:[Body]],6,FALSE))</f>
        <v/>
      </c>
      <c r="K83" s="248" t="str">
        <f>IF('9. k'!P9="","",VLOOKUP(Tabulka1012[[#This Row],[Sloupec1]],Tabulka381114228344046525864[[Tým]:[Body]],6,FALSE))</f>
        <v/>
      </c>
      <c r="L83" s="248" t="str">
        <f>IF('10. k'!P9="","",VLOOKUP(Tabulka1012[[#This Row],[Sloupec1]],Tabulka38111422834404652586470[[Tým]:[Body]],6,FALSE))</f>
        <v/>
      </c>
      <c r="M83" s="248" t="str">
        <f>IF('11. k'!P9="","",VLOOKUP(Tabulka1012[[#This Row],[Sloupec1]],Tabulka3811142283440465258647076[[Tým]:[Body]],6,FALSE))</f>
        <v/>
      </c>
      <c r="N83" s="248" t="str">
        <f>IF('12. k'!P9="","",VLOOKUP(Tabulka1012[[#This Row],[Sloupec1]],Tabulka381114228344046525864707682[[Tým]:[Body]],6,FALSE))</f>
        <v/>
      </c>
      <c r="O83" s="195" t="str">
        <f>IF('13. k'!P9="","",VLOOKUP(Tabulka1012[[#This Row],[Sloupec1]],Tabulka38111422834404652586470768288[[Tým]:[Body]],6,FALSE))</f>
        <v/>
      </c>
      <c r="P83" s="195" t="str">
        <f>IF('14. k'!$P$4="","",VLOOKUP(Tabulka1012[[#This Row],[Sloupec1]],Tabulka3811142283440465258647076828894[[Tým]:[Body]],6,FALSE))</f>
        <v/>
      </c>
      <c r="Q83" s="269" t="str">
        <f>IF('15. k'!P9="","",VLOOKUP(Tabulka1012[[#This Row],[Sloupec1]],Tabulka3811142283440465258647076828894100[[Tým]:[Body]],6,FALSE))</f>
        <v/>
      </c>
      <c r="R83" s="272">
        <f>SUM(Tabulka1012[[#This Row],[Sloupec2]:[Sloupec16]])</f>
        <v>71</v>
      </c>
      <c r="S83" s="275">
        <f>_xlfn.RANK.EQ(Tabulka1012[[#This Row],[Sloupec17]],Tabulka1012[Sloupec17],0)</f>
        <v>4</v>
      </c>
    </row>
    <row r="84" spans="2:19" ht="21" x14ac:dyDescent="0.35">
      <c r="B84" s="210" t="s">
        <v>21</v>
      </c>
      <c r="C84" s="201">
        <f>IF('1. k'!P7="","",VLOOKUP(Tabulka1012[[#This Row],[Sloupec1]],Tabulka381114222[[Tým]:[Body]],6,FALSE))</f>
        <v>12</v>
      </c>
      <c r="D84" s="195">
        <f>IF('2. k'!P7="","",VLOOKUP(Tabulka1012[[#This Row],[Sloupec1]],Tabulka3811142[[Tým]:[Body]],6,FALSE))</f>
        <v>12</v>
      </c>
      <c r="E84" s="195">
        <f>IF('3. k'!P7="","",VLOOKUP(Tabulka1012[[#This Row],[Sloupec1]],Tabulka381114228[[Tým]:[Body]],6,FALSE))</f>
        <v>10</v>
      </c>
      <c r="F84" s="195">
        <f>IF('4. k'!P7="","",VLOOKUP(Tabulka1012[[#This Row],[Sloupec1]],Tabulka38111422834[[Tým]:[Body]],6,FALSE))</f>
        <v>5</v>
      </c>
      <c r="G84" s="248">
        <f>IF('5. k'!P7="","",VLOOKUP(Tabulka1012[[#This Row],[Sloupec1]],Tabulka3811142283440[[Tým]:[Body]],6,FALSE))</f>
        <v>7</v>
      </c>
      <c r="H84" s="248">
        <f>IF('6. k'!P7="","",VLOOKUP(Tabulka1012[[#This Row],[Sloupec1]],Tabulka381114228344046[[Tým]:[Body]],6,FALSE))</f>
        <v>5</v>
      </c>
      <c r="I84" s="248">
        <f>IF('7. k'!P7="","",VLOOKUP(Tabulka1012[[#This Row],[Sloupec1]],Tabulka38111422834404652[[Tým]:[Body]],6,FALSE))</f>
        <v>12</v>
      </c>
      <c r="J84" s="248" t="str">
        <f>IF('8. k'!P7="","",VLOOKUP(Tabulka1012[[#This Row],[Sloupec1]],Tabulka3811142283440465258[[Tým]:[Body]],6,FALSE))</f>
        <v/>
      </c>
      <c r="K84" s="248" t="str">
        <f>IF('9. k'!P7="","",VLOOKUP(Tabulka1012[[#This Row],[Sloupec1]],Tabulka381114228344046525864[[Tým]:[Body]],6,FALSE))</f>
        <v/>
      </c>
      <c r="L84" s="248" t="str">
        <f>IF('10. k'!P7="","",VLOOKUP(Tabulka1012[[#This Row],[Sloupec1]],Tabulka38111422834404652586470[[Tým]:[Body]],6,FALSE))</f>
        <v/>
      </c>
      <c r="M84" s="248" t="str">
        <f>IF('11. k'!P7="","",VLOOKUP(Tabulka1012[[#This Row],[Sloupec1]],Tabulka3811142283440465258647076[[Tým]:[Body]],6,FALSE))</f>
        <v/>
      </c>
      <c r="N84" s="248" t="str">
        <f>IF('12. k'!P7="","",VLOOKUP(Tabulka1012[[#This Row],[Sloupec1]],Tabulka381114228344046525864707682[[Tým]:[Body]],6,FALSE))</f>
        <v/>
      </c>
      <c r="O84" s="195" t="str">
        <f>IF('13. k'!P7="","",VLOOKUP(Tabulka1012[[#This Row],[Sloupec1]],Tabulka38111422834404652586470768288[[Tým]:[Body]],6,FALSE))</f>
        <v/>
      </c>
      <c r="P84" s="195" t="str">
        <f>IF('14. k'!$P$4="","",VLOOKUP(Tabulka1012[[#This Row],[Sloupec1]],Tabulka3811142283440465258647076828894[[Tým]:[Body]],6,FALSE))</f>
        <v/>
      </c>
      <c r="Q84" s="269" t="str">
        <f>IF('15. k'!P7="","",VLOOKUP(Tabulka1012[[#This Row],[Sloupec1]],Tabulka3811142283440465258647076828894100[[Tým]:[Body]],6,FALSE))</f>
        <v/>
      </c>
      <c r="R84" s="272">
        <f>SUM(Tabulka1012[[#This Row],[Sloupec2]:[Sloupec16]])</f>
        <v>63</v>
      </c>
      <c r="S84" s="275">
        <f>_xlfn.RANK.EQ(Tabulka1012[[#This Row],[Sloupec17]],Tabulka1012[Sloupec17],0)</f>
        <v>6</v>
      </c>
    </row>
    <row r="85" spans="2:19" ht="21" x14ac:dyDescent="0.35">
      <c r="B85" s="210" t="s">
        <v>23</v>
      </c>
      <c r="C85" s="201">
        <f>IF('1. k'!P8="","",VLOOKUP(Tabulka1012[[#This Row],[Sloupec1]],Tabulka381114222[[Tým]:[Body]],6,FALSE))</f>
        <v>11</v>
      </c>
      <c r="D85" s="195">
        <f>IF('2. k'!P8="","",VLOOKUP(Tabulka1012[[#This Row],[Sloupec1]],Tabulka3811142[[Tým]:[Body]],6,FALSE))</f>
        <v>8</v>
      </c>
      <c r="E85" s="195">
        <f>IF('3. k'!P8="","",VLOOKUP(Tabulka1012[[#This Row],[Sloupec1]],Tabulka381114228[[Tým]:[Body]],6,FALSE))</f>
        <v>5</v>
      </c>
      <c r="F85" s="195">
        <f>IF('4. k'!P8="","",VLOOKUP(Tabulka1012[[#This Row],[Sloupec1]],Tabulka38111422834[[Tým]:[Body]],6,FALSE))</f>
        <v>11</v>
      </c>
      <c r="G85" s="248">
        <f>IF('5. k'!P8="","",VLOOKUP(Tabulka1012[[#This Row],[Sloupec1]],Tabulka3811142283440[[Tým]:[Body]],6,FALSE))</f>
        <v>9</v>
      </c>
      <c r="H85" s="248">
        <f>IF('6. k'!P8="","",VLOOKUP(Tabulka1012[[#This Row],[Sloupec1]],Tabulka381114228344046[[Tým]:[Body]],6,FALSE))</f>
        <v>11</v>
      </c>
      <c r="I85" s="248">
        <f>IF('7. k'!P8="","",VLOOKUP(Tabulka1012[[#This Row],[Sloupec1]],Tabulka38111422834404652[[Tým]:[Body]],6,FALSE))</f>
        <v>13</v>
      </c>
      <c r="J85" s="248" t="str">
        <f>IF('8. k'!P8="","",VLOOKUP(Tabulka1012[[#This Row],[Sloupec1]],Tabulka3811142283440465258[[Tým]:[Body]],6,FALSE))</f>
        <v/>
      </c>
      <c r="K85" s="248" t="str">
        <f>IF('9. k'!P8="","",VLOOKUP(Tabulka1012[[#This Row],[Sloupec1]],Tabulka381114228344046525864[[Tým]:[Body]],6,FALSE))</f>
        <v/>
      </c>
      <c r="L85" s="248" t="str">
        <f>IF('10. k'!P8="","",VLOOKUP(Tabulka1012[[#This Row],[Sloupec1]],Tabulka38111422834404652586470[[Tým]:[Body]],6,FALSE))</f>
        <v/>
      </c>
      <c r="M85" s="248" t="str">
        <f>IF('11. k'!P8="","",VLOOKUP(Tabulka1012[[#This Row],[Sloupec1]],Tabulka3811142283440465258647076[[Tým]:[Body]],6,FALSE))</f>
        <v/>
      </c>
      <c r="N85" s="254" t="str">
        <f>IF('12. k'!P8="","",VLOOKUP(Tabulka1012[[#This Row],[Sloupec1]],Tabulka381114228344046525864707682[[Tým]:[Body]],6,FALSE))</f>
        <v/>
      </c>
      <c r="O85" s="195" t="str">
        <f>IF('13. k'!P8="","",VLOOKUP(Tabulka1012[[#This Row],[Sloupec1]],Tabulka38111422834404652586470768288[[Tým]:[Body]],6,FALSE))</f>
        <v/>
      </c>
      <c r="P85" s="195" t="str">
        <f>IF('14. k'!$P$4="","",VLOOKUP(Tabulka1012[[#This Row],[Sloupec1]],Tabulka3811142283440465258647076828894[[Tým]:[Body]],6,FALSE))</f>
        <v/>
      </c>
      <c r="Q85" s="269" t="str">
        <f>IF('15. k'!P8="","",VLOOKUP(Tabulka1012[[#This Row],[Sloupec1]],Tabulka3811142283440465258647076828894100[[Tým]:[Body]],6,FALSE))</f>
        <v/>
      </c>
      <c r="R85" s="272">
        <f>SUM(Tabulka1012[[#This Row],[Sloupec2]:[Sloupec16]])</f>
        <v>68</v>
      </c>
      <c r="S85" s="275">
        <f>_xlfn.RANK.EQ(Tabulka1012[[#This Row],[Sloupec17]],Tabulka1012[Sloupec17],0)</f>
        <v>5</v>
      </c>
    </row>
    <row r="86" spans="2:19" ht="21" x14ac:dyDescent="0.35">
      <c r="B86" s="210" t="s">
        <v>15</v>
      </c>
      <c r="C86" s="201">
        <f>IF('1. k'!P10="","",VLOOKUP(Tabulka1012[[#This Row],[Sloupec1]],Tabulka381114222[[Tým]:[Body]],6,FALSE))</f>
        <v>9</v>
      </c>
      <c r="D86" s="195">
        <f>IF('2. k'!P10="","",VLOOKUP(Tabulka1012[[#This Row],[Sloupec1]],Tabulka3811142[[Tým]:[Body]],6,FALSE))</f>
        <v>10</v>
      </c>
      <c r="E86" s="195">
        <f>IF('3. k'!P10="","",VLOOKUP(Tabulka1012[[#This Row],[Sloupec1]],Tabulka381114228[[Tým]:[Body]],6,FALSE))</f>
        <v>9</v>
      </c>
      <c r="F86" s="195">
        <f>IF('4. k'!P10="","",VLOOKUP(Tabulka1012[[#This Row],[Sloupec1]],Tabulka38111422834[[Tým]:[Body]],6,FALSE))</f>
        <v>5</v>
      </c>
      <c r="G86" s="248">
        <f>IF('5. k'!P10="","",VLOOKUP(Tabulka1012[[#This Row],[Sloupec1]],Tabulka3811142283440[[Tým]:[Body]],6,FALSE))</f>
        <v>10</v>
      </c>
      <c r="H86" s="248">
        <f>IF('6. k'!P10="","",VLOOKUP(Tabulka1012[[#This Row],[Sloupec1]],Tabulka381114228344046[[Tým]:[Body]],6,FALSE))</f>
        <v>9</v>
      </c>
      <c r="I86" s="248">
        <f>IF('7. k'!P10="","",VLOOKUP(Tabulka1012[[#This Row],[Sloupec1]],Tabulka38111422834404652[[Tým]:[Body]],6,FALSE))</f>
        <v>8</v>
      </c>
      <c r="J86" s="248" t="str">
        <f>IF('8. k'!P10="","",VLOOKUP(Tabulka1012[[#This Row],[Sloupec1]],Tabulka3811142283440465258[[Tým]:[Body]],6,FALSE))</f>
        <v/>
      </c>
      <c r="K86" s="248" t="str">
        <f>IF('9. k'!P10="","",VLOOKUP(Tabulka1012[[#This Row],[Sloupec1]],Tabulka381114228344046525864[[Tým]:[Body]],6,FALSE))</f>
        <v/>
      </c>
      <c r="L86" s="248" t="str">
        <f>IF('10. k'!P10="","",VLOOKUP(Tabulka1012[[#This Row],[Sloupec1]],Tabulka38111422834404652586470[[Tým]:[Body]],6,FALSE))</f>
        <v/>
      </c>
      <c r="M86" s="248" t="str">
        <f>IF('11. k'!P10="","",VLOOKUP(Tabulka1012[[#This Row],[Sloupec1]],Tabulka3811142283440465258647076[[Tým]:[Body]],6,FALSE))</f>
        <v/>
      </c>
      <c r="N86" s="248" t="str">
        <f>IF('12. k'!P10="","",VLOOKUP(Tabulka1012[[#This Row],[Sloupec1]],Tabulka381114228344046525864707682[[Tým]:[Body]],6,FALSE))</f>
        <v/>
      </c>
      <c r="O86" s="195" t="str">
        <f>IF('13. k'!P10="","",VLOOKUP(Tabulka1012[[#This Row],[Sloupec1]],Tabulka38111422834404652586470768288[[Tým]:[Body]],6,FALSE))</f>
        <v/>
      </c>
      <c r="P86" s="195" t="str">
        <f>IF('14. k'!$P$4="","",VLOOKUP(Tabulka1012[[#This Row],[Sloupec1]],Tabulka3811142283440465258647076828894[[Tým]:[Body]],6,FALSE))</f>
        <v/>
      </c>
      <c r="Q86" s="269" t="str">
        <f>IF('15. k'!P10="","",VLOOKUP(Tabulka1012[[#This Row],[Sloupec1]],Tabulka3811142283440465258647076828894100[[Tým]:[Body]],6,FALSE))</f>
        <v/>
      </c>
      <c r="R86" s="272">
        <f>SUM(Tabulka1012[[#This Row],[Sloupec2]:[Sloupec16]])</f>
        <v>60</v>
      </c>
      <c r="S86" s="275">
        <f>_xlfn.RANK.EQ(Tabulka1012[[#This Row],[Sloupec17]],Tabulka1012[Sloupec17],0)</f>
        <v>8</v>
      </c>
    </row>
    <row r="87" spans="2:19" ht="21" x14ac:dyDescent="0.35">
      <c r="B87" s="210" t="s">
        <v>16</v>
      </c>
      <c r="C87" s="201">
        <f>IF('1. k'!P11="","",VLOOKUP(Tabulka1012[[#This Row],[Sloupec1]],Tabulka381114222[[Tým]:[Body]],6,FALSE))</f>
        <v>5</v>
      </c>
      <c r="D87" s="195">
        <f>IF('2. k'!P11="","",VLOOKUP(Tabulka1012[[#This Row],[Sloupec1]],Tabulka3811142[[Tým]:[Body]],6,FALSE))</f>
        <v>5</v>
      </c>
      <c r="E87" s="195">
        <f>IF('3. k'!P11="","",VLOOKUP(Tabulka1012[[#This Row],[Sloupec1]],Tabulka381114228[[Tým]:[Body]],6,FALSE))</f>
        <v>12</v>
      </c>
      <c r="F87" s="195">
        <f>IF('4. k'!P11="","",VLOOKUP(Tabulka1012[[#This Row],[Sloupec1]],Tabulka38111422834[[Tým]:[Body]],6,FALSE))</f>
        <v>5</v>
      </c>
      <c r="G87" s="248">
        <f>IF('5. k'!P11="","",VLOOKUP(Tabulka1012[[#This Row],[Sloupec1]],Tabulka3811142283440[[Tým]:[Body]],6,FALSE))</f>
        <v>12</v>
      </c>
      <c r="H87" s="248">
        <f>IF('6. k'!P11="","",VLOOKUP(Tabulka1012[[#This Row],[Sloupec1]],Tabulka381114228344046[[Tým]:[Body]],6,FALSE))</f>
        <v>13</v>
      </c>
      <c r="I87" s="248">
        <f>IF('7. k'!P11="","",VLOOKUP(Tabulka1012[[#This Row],[Sloupec1]],Tabulka38111422834404652[[Tým]:[Body]],6,FALSE))</f>
        <v>10</v>
      </c>
      <c r="J87" s="248" t="str">
        <f>IF('8. k'!P11="","",VLOOKUP(Tabulka1012[[#This Row],[Sloupec1]],Tabulka3811142283440465258[[Tým]:[Body]],6,FALSE))</f>
        <v/>
      </c>
      <c r="K87" s="248" t="str">
        <f>IF('9. k'!P11="","",VLOOKUP(Tabulka1012[[#This Row],[Sloupec1]],Tabulka381114228344046525864[[Tým]:[Body]],6,FALSE))</f>
        <v/>
      </c>
      <c r="L87" s="248" t="str">
        <f>IF('10. k'!P11="","",VLOOKUP(Tabulka1012[[#This Row],[Sloupec1]],Tabulka38111422834404652586470[[Tým]:[Body]],6,FALSE))</f>
        <v/>
      </c>
      <c r="M87" s="248" t="str">
        <f>IF('11. k'!P11="","",VLOOKUP(Tabulka1012[[#This Row],[Sloupec1]],Tabulka3811142283440465258647076[[Tým]:[Body]],6,FALSE))</f>
        <v/>
      </c>
      <c r="N87" s="248" t="str">
        <f>IF('12. k'!P11="","",VLOOKUP(Tabulka1012[[#This Row],[Sloupec1]],Tabulka381114228344046525864707682[[Tým]:[Body]],6,FALSE))</f>
        <v/>
      </c>
      <c r="O87" s="195" t="str">
        <f>IF('13. k'!P11="","",VLOOKUP(Tabulka1012[[#This Row],[Sloupec1]],Tabulka38111422834404652586470768288[[Tým]:[Body]],6,FALSE))</f>
        <v/>
      </c>
      <c r="P87" s="195" t="str">
        <f>IF('14. k'!$P$4="","",VLOOKUP(Tabulka1012[[#This Row],[Sloupec1]],Tabulka3811142283440465258647076828894[[Tým]:[Body]],6,FALSE))</f>
        <v/>
      </c>
      <c r="Q87" s="269" t="str">
        <f>IF('15. k'!P11="","",VLOOKUP(Tabulka1012[[#This Row],[Sloupec1]],Tabulka3811142283440465258647076828894100[[Tým]:[Body]],6,FALSE))</f>
        <v/>
      </c>
      <c r="R87" s="272">
        <f>SUM(Tabulka1012[[#This Row],[Sloupec2]:[Sloupec16]])</f>
        <v>62</v>
      </c>
      <c r="S87" s="275">
        <f>_xlfn.RANK.EQ(Tabulka1012[[#This Row],[Sloupec17]],Tabulka1012[Sloupec17],0)</f>
        <v>7</v>
      </c>
    </row>
    <row r="88" spans="2:19" ht="21" x14ac:dyDescent="0.35">
      <c r="B88" s="210" t="s">
        <v>36</v>
      </c>
      <c r="C88" s="201">
        <f>IF('1. k'!P13="","",VLOOKUP(Tabulka1012[[#This Row],[Sloupec1]],Tabulka381114222[[Tým]:[Body]],6,FALSE))</f>
        <v>5</v>
      </c>
      <c r="D88" s="195">
        <f>IF('2. k'!P13="","",VLOOKUP(Tabulka1012[[#This Row],[Sloupec1]],Tabulka3811142[[Tým]:[Body]],6,FALSE))</f>
        <v>13</v>
      </c>
      <c r="E88" s="195">
        <f>IF('3. k'!P13="","",VLOOKUP(Tabulka1012[[#This Row],[Sloupec1]],Tabulka381114228[[Tým]:[Body]],6,FALSE))</f>
        <v>8</v>
      </c>
      <c r="F88" s="195">
        <f>IF('4. k'!P13="","",VLOOKUP(Tabulka1012[[#This Row],[Sloupec1]],Tabulka38111422834[[Tým]:[Body]],6,FALSE))</f>
        <v>10</v>
      </c>
      <c r="G88" s="248" t="str">
        <f>IF('5. k'!P19="","",VLOOKUP(Tabulka1012[[#This Row],[Sloupec1]],Tabulka3811142283440[[Tým]:[Body]],6,FALSE))</f>
        <v/>
      </c>
      <c r="H88" s="248" t="str">
        <f>IF('6. k'!P16="","",VLOOKUP(Tabulka1012[[#This Row],[Sloupec1]],Tabulka381114228344046[[Tým]:[Body]],6,FALSE))</f>
        <v/>
      </c>
      <c r="I88" s="248" t="str">
        <f>IF('7. k'!P16="","",VLOOKUP(Tabulka1012[[#This Row],[Sloupec1]],Tabulka38111422834404652[[Tým]:[Body]],6,FALSE))</f>
        <v/>
      </c>
      <c r="J88" s="248" t="str">
        <f>IF('8. k'!P13="","",VLOOKUP(Tabulka1012[[#This Row],[Sloupec1]],Tabulka3811142283440465258[[Tým]:[Body]],6,FALSE))</f>
        <v/>
      </c>
      <c r="K88" s="248" t="str">
        <f>IF('9. k'!P13="","",VLOOKUP(Tabulka1012[[#This Row],[Sloupec1]],Tabulka381114228344046525864[[Tým]:[Body]],6,FALSE))</f>
        <v/>
      </c>
      <c r="L88" s="248" t="str">
        <f>IF('10. k'!P13="","",VLOOKUP(Tabulka1012[[#This Row],[Sloupec1]],Tabulka38111422834404652586470[[Tým]:[Body]],6,FALSE))</f>
        <v/>
      </c>
      <c r="M88" s="248" t="str">
        <f>IF('11. k'!P13="","",VLOOKUP(Tabulka1012[[#This Row],[Sloupec1]],Tabulka3811142283440465258647076[[Tým]:[Body]],6,FALSE))</f>
        <v/>
      </c>
      <c r="N88" s="248" t="str">
        <f>IF('12. k'!P13="","",VLOOKUP(Tabulka1012[[#This Row],[Sloupec1]],Tabulka381114228344046525864707682[[Tým]:[Body]],6,FALSE))</f>
        <v/>
      </c>
      <c r="O88" s="195" t="str">
        <f>IF('13. k'!P13="","",VLOOKUP(Tabulka1012[[#This Row],[Sloupec1]],Tabulka38111422834404652586470768288[[Tým]:[Body]],6,FALSE))</f>
        <v/>
      </c>
      <c r="P88" s="195" t="str">
        <f>IF('14. k'!$P$4="","",VLOOKUP(Tabulka1012[[#This Row],[Sloupec1]],Tabulka3811142283440465258647076828894[[Tým]:[Body]],6,FALSE))</f>
        <v/>
      </c>
      <c r="Q88" s="269" t="str">
        <f>IF('15. k'!P13="","",VLOOKUP(Tabulka1012[[#This Row],[Sloupec1]],Tabulka3811142283440465258647076828894100[[Tým]:[Body]],6,FALSE))</f>
        <v/>
      </c>
      <c r="R88" s="272">
        <f>SUM(Tabulka1012[[#This Row],[Sloupec2]:[Sloupec16]])</f>
        <v>36</v>
      </c>
      <c r="S88" s="275">
        <f>_xlfn.RANK.EQ(Tabulka1012[[#This Row],[Sloupec17]],Tabulka1012[Sloupec17],0)</f>
        <v>10</v>
      </c>
    </row>
    <row r="89" spans="2:19" ht="21.75" thickBot="1" x14ac:dyDescent="0.4">
      <c r="B89" s="211" t="s">
        <v>24</v>
      </c>
      <c r="C89" s="202">
        <f>IF('1. k'!P12="","",VLOOKUP(Tabulka1012[[#This Row],[Sloupec1]],Tabulka381114222[[Tým]:[Body]],6,FALSE))</f>
        <v>5</v>
      </c>
      <c r="D89" s="197">
        <f>IF('2. k'!P12="","",VLOOKUP(Tabulka1012[[#This Row],[Sloupec1]],Tabulka3811142[[Tým]:[Body]],6,FALSE))</f>
        <v>7</v>
      </c>
      <c r="E89" s="197">
        <f>IF('3. k'!P12="","",VLOOKUP(Tabulka1012[[#This Row],[Sloupec1]],Tabulka381114228[[Tým]:[Body]],6,FALSE))</f>
        <v>5</v>
      </c>
      <c r="F89" s="197">
        <f>IF('4. k'!P12="","",VLOOKUP(Tabulka1012[[#This Row],[Sloupec1]],Tabulka38111422834[[Tým]:[Body]],6,FALSE))</f>
        <v>9</v>
      </c>
      <c r="G89" s="249">
        <f>IF('5. k'!P12="","",VLOOKUP(Tabulka1012[[#This Row],[Sloupec1]],Tabulka3811142283440[[Tým]:[Body]],6,FALSE))</f>
        <v>8</v>
      </c>
      <c r="H89" s="249">
        <f>IF('6. k'!P12="","",VLOOKUP(Tabulka1012[[#This Row],[Sloupec1]],Tabulka381114228344046[[Tým]:[Body]],6,FALSE))</f>
        <v>5</v>
      </c>
      <c r="I89" s="249">
        <f>IF('7. k'!P12="","",VLOOKUP(Tabulka1012[[#This Row],[Sloupec1]],Tabulka38111422834404652[[Tým]:[Body]],6,FALSE))</f>
        <v>6</v>
      </c>
      <c r="J89" s="249" t="str">
        <f>IF('8. k'!P12="","",VLOOKUP(Tabulka1012[[#This Row],[Sloupec1]],Tabulka3811142283440465258[[Tým]:[Body]],6,FALSE))</f>
        <v/>
      </c>
      <c r="K89" s="249" t="str">
        <f>IF('9. k'!P12="","",VLOOKUP(Tabulka1012[[#This Row],[Sloupec1]],Tabulka381114228344046525864[[Tým]:[Body]],6,FALSE))</f>
        <v/>
      </c>
      <c r="L89" s="249" t="str">
        <f>IF('10. k'!P12="","",VLOOKUP(Tabulka1012[[#This Row],[Sloupec1]],Tabulka38111422834404652586470[[Tým]:[Body]],6,FALSE))</f>
        <v/>
      </c>
      <c r="M89" s="249" t="str">
        <f>IF('11. k'!P12="","",VLOOKUP(Tabulka1012[[#This Row],[Sloupec1]],Tabulka3811142283440465258647076[[Tým]:[Body]],6,FALSE))</f>
        <v/>
      </c>
      <c r="N89" s="249" t="str">
        <f>IF('12. k'!P12="","",VLOOKUP(Tabulka1012[[#This Row],[Sloupec1]],Tabulka381114228344046525864707682[[Tým]:[Body]],6,FALSE))</f>
        <v/>
      </c>
      <c r="O89" s="197" t="str">
        <f>IF('13. k'!P12="","",VLOOKUP(Tabulka1012[[#This Row],[Sloupec1]],Tabulka38111422834404652586470768288[[Tým]:[Body]],6,FALSE))</f>
        <v/>
      </c>
      <c r="P89" s="197" t="str">
        <f>IF('14. k'!$P$4="","",VLOOKUP(Tabulka1012[[#This Row],[Sloupec1]],Tabulka3811142283440465258647076828894[[Tým]:[Body]],6,FALSE))</f>
        <v/>
      </c>
      <c r="Q89" s="270" t="str">
        <f>IF('15. k'!P12="","",VLOOKUP(Tabulka1012[[#This Row],[Sloupec1]],Tabulka3811142283440465258647076828894100[[Tým]:[Body]],6,FALSE))</f>
        <v/>
      </c>
      <c r="R89" s="273">
        <f>SUM(Tabulka1012[[#This Row],[Sloupec2]:[Sloupec16]])</f>
        <v>45</v>
      </c>
      <c r="S89" s="276">
        <f>_xlfn.RANK.EQ(Tabulka1012[[#This Row],[Sloupec17]],Tabulka1012[Sloupec17],0)</f>
        <v>9</v>
      </c>
    </row>
  </sheetData>
  <protectedRanges>
    <protectedRange sqref="B31:B41 B79:B89" name="Oblast1"/>
  </protectedRanges>
  <mergeCells count="4">
    <mergeCell ref="B28:Q28"/>
    <mergeCell ref="B2:Q2"/>
    <mergeCell ref="B50:S50"/>
    <mergeCell ref="B76:S76"/>
  </mergeCells>
  <phoneticPr fontId="12" type="noConversion"/>
  <pageMargins left="0.7" right="0.7" top="0.78740157499999996" bottom="0.78740157499999996" header="0.3" footer="0.3"/>
  <pageSetup paperSize="9" orientation="portrait" r:id="rId1"/>
  <drawing r:id="rId2"/>
  <tableParts count="4"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9D15A-EA7A-422E-8D92-BC385E6F8FC7}">
  <dimension ref="A1:AQ53"/>
  <sheetViews>
    <sheetView showGridLines="0" zoomScale="55" zoomScaleNormal="55" workbookViewId="0">
      <selection activeCell="Q25" sqref="Q25"/>
    </sheetView>
  </sheetViews>
  <sheetFormatPr defaultRowHeight="26.25" x14ac:dyDescent="0.4"/>
  <cols>
    <col min="1" max="1" width="5.7109375" style="1" customWidth="1"/>
    <col min="2" max="3" width="16.7109375" style="1" customWidth="1"/>
    <col min="4" max="4" width="35.7109375" style="1" customWidth="1"/>
    <col min="5" max="6" width="16.7109375" style="1" customWidth="1"/>
    <col min="7" max="7" width="20.7109375" style="1" customWidth="1"/>
    <col min="8" max="9" width="20.7109375" style="1" hidden="1" customWidth="1"/>
    <col min="10" max="12" width="11.5703125" style="1" hidden="1" customWidth="1"/>
    <col min="13" max="13" width="10.7109375" style="1" customWidth="1"/>
    <col min="14" max="15" width="16.7109375" style="1" customWidth="1"/>
    <col min="16" max="16" width="35.7109375" style="1" customWidth="1"/>
    <col min="17" max="18" width="16.7109375" style="1" customWidth="1"/>
    <col min="19" max="19" width="20.7109375" style="1" customWidth="1"/>
    <col min="20" max="21" width="20.7109375" style="1" hidden="1" customWidth="1"/>
    <col min="22" max="24" width="13.7109375" style="1" hidden="1" customWidth="1"/>
    <col min="25" max="25" width="9.140625" style="1"/>
    <col min="26" max="26" width="16.7109375" style="1" customWidth="1"/>
    <col min="27" max="27" width="35.7109375" style="1" customWidth="1"/>
    <col min="28" max="29" width="16.7109375" style="1" customWidth="1"/>
    <col min="30" max="30" width="22.7109375" style="1" bestFit="1" customWidth="1"/>
    <col min="31" max="31" width="13.7109375" style="1" hidden="1" customWidth="1"/>
    <col min="32" max="32" width="12.7109375" style="1" customWidth="1"/>
    <col min="33" max="33" width="9.140625" style="1"/>
    <col min="34" max="34" width="16.7109375" style="1" customWidth="1"/>
    <col min="35" max="35" width="35.7109375" style="1" customWidth="1"/>
    <col min="36" max="36" width="12.7109375" style="1" hidden="1" customWidth="1"/>
    <col min="37" max="37" width="10.7109375" style="1" hidden="1" customWidth="1"/>
    <col min="38" max="38" width="14.7109375" style="1" bestFit="1" customWidth="1"/>
    <col min="39" max="41" width="9.140625" style="1"/>
    <col min="42" max="16384" width="9.140625" style="2"/>
  </cols>
  <sheetData>
    <row r="1" spans="2:42" ht="24.95" customHeight="1" thickBot="1" x14ac:dyDescent="0.45"/>
    <row r="2" spans="2:42" ht="24.95" customHeight="1" thickBot="1" x14ac:dyDescent="0.45">
      <c r="B2" s="302" t="str">
        <f>"Výsledky - Soutěže "&amp;Uvod!A3&amp;" kola NHHL "&amp;TEXT(Uvod!B3,"d.m. rrrr")&amp;" "&amp;Uvod!C3&amp;" - MUŽI "</f>
        <v xml:space="preserve">Výsledky - Soutěže 1. kola NHHL 19.5. 2023 Píšť - MUŽI </v>
      </c>
      <c r="C2" s="303"/>
      <c r="D2" s="303"/>
      <c r="E2" s="303"/>
      <c r="F2" s="303"/>
      <c r="G2" s="303"/>
      <c r="H2" s="303"/>
      <c r="I2" s="303"/>
      <c r="J2" s="304"/>
      <c r="K2" s="178"/>
      <c r="L2" s="178"/>
      <c r="N2" s="305" t="str">
        <f>"Výsledky - Soutěže "&amp;Uvod!A3&amp;" kola NHHL "&amp;TEXT(Uvod!B3,"d.m. rrrr")&amp;" "&amp;Uvod!C3&amp;" - ŽENY "</f>
        <v xml:space="preserve">Výsledky - Soutěže 1. kola NHHL 19.5. 2023 Píšť - ŽENY </v>
      </c>
      <c r="O2" s="306"/>
      <c r="P2" s="306"/>
      <c r="Q2" s="306"/>
      <c r="R2" s="306"/>
      <c r="S2" s="306"/>
      <c r="T2" s="306"/>
      <c r="U2" s="306"/>
      <c r="V2" s="307"/>
      <c r="W2" s="178"/>
      <c r="X2" s="178"/>
      <c r="Z2" s="302" t="str">
        <f>B2</f>
        <v xml:space="preserve">Výsledky - Soutěže 1. kola NHHL 19.5. 2023 Píšť - MUŽI </v>
      </c>
      <c r="AA2" s="303"/>
      <c r="AB2" s="303"/>
      <c r="AC2" s="303"/>
      <c r="AD2" s="303"/>
      <c r="AE2" s="303"/>
      <c r="AF2" s="304"/>
      <c r="AH2" s="314" t="str">
        <f>"Pořadí po "&amp;Uvod!A3&amp;" kole NHHL - MUŽI"</f>
        <v>Pořadí po 1. kole NHHL - MUŽI</v>
      </c>
      <c r="AI2" s="315"/>
      <c r="AJ2" s="315"/>
      <c r="AK2" s="315"/>
      <c r="AL2" s="316"/>
      <c r="AO2" s="2"/>
    </row>
    <row r="3" spans="2:42" ht="24.95" customHeight="1" x14ac:dyDescent="0.4">
      <c r="B3" s="231" t="s">
        <v>0</v>
      </c>
      <c r="C3" s="232" t="s">
        <v>1</v>
      </c>
      <c r="D3" s="232" t="s">
        <v>2</v>
      </c>
      <c r="E3" s="232" t="s">
        <v>3</v>
      </c>
      <c r="F3" s="232" t="s">
        <v>4</v>
      </c>
      <c r="G3" s="232" t="s">
        <v>5</v>
      </c>
      <c r="H3" s="232" t="s">
        <v>108</v>
      </c>
      <c r="I3" s="232" t="s">
        <v>103</v>
      </c>
      <c r="J3" s="228" t="s">
        <v>27</v>
      </c>
      <c r="N3" s="224" t="s">
        <v>0</v>
      </c>
      <c r="O3" s="225" t="s">
        <v>1</v>
      </c>
      <c r="P3" s="225" t="s">
        <v>2</v>
      </c>
      <c r="Q3" s="225" t="s">
        <v>3</v>
      </c>
      <c r="R3" s="225" t="s">
        <v>4</v>
      </c>
      <c r="S3" s="225" t="s">
        <v>5</v>
      </c>
      <c r="T3" s="225" t="s">
        <v>108</v>
      </c>
      <c r="U3" s="225" t="s">
        <v>103</v>
      </c>
      <c r="V3" s="228" t="s">
        <v>27</v>
      </c>
      <c r="Z3" s="224" t="s">
        <v>1</v>
      </c>
      <c r="AA3" s="225" t="s">
        <v>2</v>
      </c>
      <c r="AB3" s="225" t="s">
        <v>3</v>
      </c>
      <c r="AC3" s="225" t="s">
        <v>4</v>
      </c>
      <c r="AD3" s="225" t="s">
        <v>5</v>
      </c>
      <c r="AE3" s="225" t="s">
        <v>27</v>
      </c>
      <c r="AF3" s="226" t="s">
        <v>7</v>
      </c>
      <c r="AH3" s="190" t="s">
        <v>1</v>
      </c>
      <c r="AI3" s="184" t="s">
        <v>2</v>
      </c>
      <c r="AJ3" s="191" t="s">
        <v>73</v>
      </c>
      <c r="AK3" s="191" t="s">
        <v>109</v>
      </c>
      <c r="AL3" s="192" t="s">
        <v>7</v>
      </c>
      <c r="AP3" s="1"/>
    </row>
    <row r="4" spans="2:42" ht="24.95" customHeight="1" x14ac:dyDescent="0.4">
      <c r="B4" s="52" t="s">
        <v>41</v>
      </c>
      <c r="C4" s="25">
        <f>IF(Tabulka17101319[[#This Row],[ ]]="","",IF(Tabulka17101319[[#This Row],[ ]]="NEÚČAST","",IF(OR(Tabulka17101319[Výsledný čas]="N",Tabulka17101319[Výsledný čas]="D"),$L$4-$L$5,_xlfn.RANK.EQ(Tabulka17101319[[#This Row],[ ]],Tabulka17101319[[ ]],1))))</f>
        <v>1</v>
      </c>
      <c r="D4" s="49" t="s">
        <v>19</v>
      </c>
      <c r="E4" s="230">
        <v>16.276</v>
      </c>
      <c r="F4" s="51">
        <v>16.308</v>
      </c>
      <c r="G4" s="25">
        <f>IF(OR(Tabulka17101319[[#This Row],[LP]]="N",Tabulka17101319[[#This Row],[PP]]="N"),"N",IF(OR(Tabulka17101319[[#This Row],[LP]]="D",Tabulka17101319[[#This Row],[PP]]="D"),"D",IF(OR(Tabulka17101319[[#This Row],[LP]]="NEÚČAST",Tabulka17101319[[#This Row],[PP]]="NEÚČAST"),"NEÚČAST",IF(OR(Tabulka17101319[[#This Row],[LP]]="",Tabulka17101319[[#This Row],[PP]]=""),"",MAX(Tabulka17101319[[#This Row],[LP]:[PP]])))))</f>
        <v>16.308</v>
      </c>
      <c r="H4" s="25">
        <f>COUNTIF(Tabulka17101319[[#This Row],[Tým]],"*")</f>
        <v>1</v>
      </c>
      <c r="I4" s="25">
        <f>COUNTIF(Tabulka17101319[[#This Row],[Výsledný čas]],"NEÚČAST")</f>
        <v>0</v>
      </c>
      <c r="J4" s="29">
        <f>IF(Tabulka17101319[[#This Row],[Výsledný čas]]="N",998,IF(Tabulka17101319[[#This Row],[Výsledný čas]]="D",998,IF(Tabulka17101319[[#This Row],[Výsledný čas]]="","",Tabulka17101319[[#This Row],[Výsledný čas]])))</f>
        <v>16.308</v>
      </c>
      <c r="L4" s="1">
        <f>SUM(Tabulka17101319[ÚČAST])</f>
        <v>24</v>
      </c>
      <c r="N4" s="30" t="s">
        <v>66</v>
      </c>
      <c r="O4" s="25">
        <f>IF(Tabulka171013624[[#This Row],[ ]]="","",IF(Tabulka171013624[[#This Row],[ ]]="NEÚČAST","",IF(OR(Tabulka171013624[Výsledný čas]="N",Tabulka171013624[Výsledný čas]="D"),$X$4-$X$5,_xlfn.RANK.EQ(Tabulka171013624[[#This Row],[ ]],Tabulka171013624[[ ]],1))))</f>
        <v>1</v>
      </c>
      <c r="P4" s="49" t="s">
        <v>34</v>
      </c>
      <c r="Q4" s="227">
        <v>18.271000000000001</v>
      </c>
      <c r="R4" s="49">
        <v>19.100000000000001</v>
      </c>
      <c r="S4" s="25">
        <f>IF(OR(Tabulka171013624[[#This Row],[LP]]="N",Tabulka171013624[[#This Row],[PP]]="N"),"N",IF(OR(Tabulka171013624[[#This Row],[LP]]="D",Tabulka171013624[[#This Row],[PP]]="D"),"D",IF(OR(Tabulka171013624[[#This Row],[LP]]="NEÚČAST",Tabulka171013624[[#This Row],[PP]]="NEÚČAST"),"NEÚČAST",IF(OR(Tabulka171013624[[#This Row],[LP]]="",Tabulka171013624[[#This Row],[PP]]=""),"",MAX(Tabulka171013624[[#This Row],[LP]:[PP]])))))</f>
        <v>19.100000000000001</v>
      </c>
      <c r="T4" s="25">
        <f>COUNTIF(Tabulka171013624[[#This Row],[Tým]],"*")</f>
        <v>1</v>
      </c>
      <c r="U4" s="25">
        <f>COUNTIF(Tabulka171013624[[#This Row],[Výsledný čas]],"NEÚČAST")</f>
        <v>0</v>
      </c>
      <c r="V4" s="29">
        <f>IF(Tabulka171013624[[#This Row],[Výsledný čas]]="N",998,IF(Tabulka171013624[[#This Row],[Výsledný čas]]="D",998,IF(Tabulka171013624[[#This Row],[Výsledný čas]]="","",Tabulka171013624[[#This Row],[Výsledný čas]])))</f>
        <v>19.100000000000001</v>
      </c>
      <c r="X4" s="1">
        <f>SUM(Tabulka171013624[ÚČAST])</f>
        <v>11</v>
      </c>
      <c r="Z4" s="31">
        <f>IF(OR(Tabulka38111420[Výsledný čas]="N",Tabulka38111420[Výsledný čas]="D",Tabulka38111420[Výsledný čas]="NEÚČAST"),Uvod!$E$4,_xlfn.RANK.EQ(Tabulka38111420[[#This Row],[ ]],Tabulka38111420[[ ]],1))</f>
        <v>1</v>
      </c>
      <c r="AA4" s="51" t="s">
        <v>19</v>
      </c>
      <c r="AB4" s="44">
        <f>VLOOKUP(Tabulka38111420[[#This Row],[Tým]],Tabulka17101319[[Tým]:[ ]],2,FALSE)</f>
        <v>16.276</v>
      </c>
      <c r="AC4" s="44">
        <f>VLOOKUP(Tabulka38111420[[#This Row],[Tým]],Tabulka17101319[[Tým]:[ ]],3,FALSE)</f>
        <v>16.308</v>
      </c>
      <c r="AD4" s="25">
        <f>VLOOKUP(Tabulka38111420[[#This Row],[Tým]],Tabulka17101319[[Tým]:[ ]],4,FALSE)</f>
        <v>16.308</v>
      </c>
      <c r="AE4" s="25">
        <f>VLOOKUP(Tabulka38111420[[#This Row],[Tým]],Tabulka17101319[[Tým]:[ ]],7,FALSE)</f>
        <v>16.308</v>
      </c>
      <c r="AF4" s="29">
        <f>IF(Tabulka38111420[[#This Row],[Výsledný čas]]="N",5,IF(Tabulka38111420[[#This Row],[Výsledný čas]]="D",0,IF(Tabulka38111420[[#This Row],[Výsledný čas]]="NEÚČAST",0,Tabulka4[[#Totals],[Týmy muži]]+6-Tabulka38111420[[#This Row],[Umístění]])))</f>
        <v>24</v>
      </c>
      <c r="AH4" s="15">
        <f>_xlfn.RANK.EQ(Tabulka59121521[[#This Row],[Body]],Tabulka59121521[Body],0)</f>
        <v>1</v>
      </c>
      <c r="AI4" s="53" t="s">
        <v>19</v>
      </c>
      <c r="AJ4" s="53">
        <f>Tabulka59121521[[#This Row],[Umístění]]</f>
        <v>1</v>
      </c>
      <c r="AK4" s="53">
        <f>VLOOKUP(Tabulka59121521[[#This Row],[Tým]],Tabulka3[],2,FALSE)</f>
        <v>0</v>
      </c>
      <c r="AL4" s="185">
        <f>VLOOKUP(Tabulka59121521[[#This Row],[Tým]],Tabulka38111420[[Tým]:[Body]],6,FALSE)+Tabulka59121521[[#This Row],[KOREKCE]]</f>
        <v>24</v>
      </c>
      <c r="AP4" s="1"/>
    </row>
    <row r="5" spans="2:42" ht="24.95" customHeight="1" x14ac:dyDescent="0.4">
      <c r="B5" s="52" t="s">
        <v>42</v>
      </c>
      <c r="C5" s="25">
        <f>IF(Tabulka17101319[[#This Row],[ ]]="","",IF(Tabulka17101319[[#This Row],[ ]]="NEÚČAST","",IF(OR(Tabulka17101319[Výsledný čas]="N",Tabulka17101319[Výsledný čas]="D"),$L$4-$L$5,_xlfn.RANK.EQ(Tabulka17101319[[#This Row],[ ]],Tabulka17101319[[ ]],1))))</f>
        <v>2</v>
      </c>
      <c r="D5" s="49" t="s">
        <v>12</v>
      </c>
      <c r="E5" s="51">
        <v>16.922000000000001</v>
      </c>
      <c r="F5" s="51">
        <v>16.960999999999999</v>
      </c>
      <c r="G5" s="25">
        <f>IF(OR(Tabulka17101319[[#This Row],[LP]]="N",Tabulka17101319[[#This Row],[PP]]="N"),"N",IF(OR(Tabulka17101319[[#This Row],[LP]]="D",Tabulka17101319[[#This Row],[PP]]="D"),"D",IF(OR(Tabulka17101319[[#This Row],[LP]]="NEÚČAST",Tabulka17101319[[#This Row],[PP]]="NEÚČAST"),"NEÚČAST",IF(OR(Tabulka17101319[[#This Row],[LP]]="",Tabulka17101319[[#This Row],[PP]]=""),"",MAX(Tabulka17101319[[#This Row],[LP]:[PP]])))))</f>
        <v>16.960999999999999</v>
      </c>
      <c r="H5" s="25">
        <f>COUNTIF(Tabulka17101319[[#This Row],[Tým]],"*")</f>
        <v>1</v>
      </c>
      <c r="I5" s="25">
        <f>COUNTIF(Tabulka17101319[[#This Row],[Výsledný čas]],"NEÚČAST")</f>
        <v>0</v>
      </c>
      <c r="J5" s="29">
        <f>IF(Tabulka17101319[[#This Row],[Výsledný čas]]="N",998,IF(Tabulka17101319[[#This Row],[Výsledný čas]]="D",998,IF(Tabulka17101319[[#This Row],[Výsledný čas]]="","",Tabulka17101319[[#This Row],[Výsledný čas]])))</f>
        <v>16.960999999999999</v>
      </c>
      <c r="L5" s="1">
        <f>SUM(Tabulka17101319[NEÚČAST])</f>
        <v>0</v>
      </c>
      <c r="N5" s="30" t="s">
        <v>106</v>
      </c>
      <c r="O5" s="25">
        <f>IF(Tabulka171013624[[#This Row],[ ]]="","",IF(Tabulka171013624[[#This Row],[ ]]="NEÚČAST","",IF(OR(Tabulka171013624[Výsledný čas]="N",Tabulka171013624[Výsledný čas]="D"),$X$4-$X$5,_xlfn.RANK.EQ(Tabulka171013624[[#This Row],[ ]],Tabulka171013624[[ ]],1))))</f>
        <v>2</v>
      </c>
      <c r="P5" s="49" t="s">
        <v>35</v>
      </c>
      <c r="Q5" s="49">
        <v>20.715</v>
      </c>
      <c r="R5" s="49">
        <v>20.356000000000002</v>
      </c>
      <c r="S5" s="25">
        <f>IF(OR(Tabulka171013624[[#This Row],[LP]]="N",Tabulka171013624[[#This Row],[PP]]="N"),"N",IF(OR(Tabulka171013624[[#This Row],[LP]]="D",Tabulka171013624[[#This Row],[PP]]="D"),"D",IF(OR(Tabulka171013624[[#This Row],[LP]]="NEÚČAST",Tabulka171013624[[#This Row],[PP]]="NEÚČAST"),"NEÚČAST",IF(OR(Tabulka171013624[[#This Row],[LP]]="",Tabulka171013624[[#This Row],[PP]]=""),"",MAX(Tabulka171013624[[#This Row],[LP]:[PP]])))))</f>
        <v>20.715</v>
      </c>
      <c r="T5" s="25">
        <f>COUNTIF(Tabulka171013624[[#This Row],[Tým]],"*")</f>
        <v>1</v>
      </c>
      <c r="U5" s="25">
        <f>COUNTIF(Tabulka171013624[[#This Row],[Výsledný čas]],"NEÚČAST")</f>
        <v>0</v>
      </c>
      <c r="V5" s="29">
        <f>IF(Tabulka171013624[[#This Row],[Výsledný čas]]="N",998,IF(Tabulka171013624[[#This Row],[Výsledný čas]]="D",998,IF(Tabulka171013624[[#This Row],[Výsledný čas]]="","",Tabulka171013624[[#This Row],[Výsledný čas]])))</f>
        <v>20.715</v>
      </c>
      <c r="X5" s="1">
        <f>SUM(Tabulka171013624[NEÚČAST])</f>
        <v>0</v>
      </c>
      <c r="Z5" s="31">
        <f>IF(OR(Tabulka38111420[Výsledný čas]="N",Tabulka38111420[Výsledný čas]="D",Tabulka38111420[Výsledný čas]="NEÚČAST"),Uvod!$E$4,_xlfn.RANK.EQ(Tabulka38111420[[#This Row],[ ]],Tabulka38111420[[ ]],1))</f>
        <v>2</v>
      </c>
      <c r="AA5" s="51" t="s">
        <v>30</v>
      </c>
      <c r="AB5" s="44">
        <f>VLOOKUP(Tabulka38111420[[#This Row],[Tým]],Tabulka17101319[[Tým]:[ ]],2,FALSE)</f>
        <v>17.388000000000002</v>
      </c>
      <c r="AC5" s="44">
        <f>VLOOKUP(Tabulka38111420[[#This Row],[Tým]],Tabulka17101319[[Tým]:[ ]],3,FALSE)</f>
        <v>17.21</v>
      </c>
      <c r="AD5" s="25">
        <f>VLOOKUP(Tabulka38111420[[#This Row],[Tým]],Tabulka17101319[[Tým]:[ ]],4,FALSE)</f>
        <v>17.388000000000002</v>
      </c>
      <c r="AE5" s="25">
        <f>VLOOKUP(Tabulka38111420[[#This Row],[Tým]],Tabulka17101319[[Tým]:[ ]],7,FALSE)</f>
        <v>17.388000000000002</v>
      </c>
      <c r="AF5" s="29">
        <f>IF(Tabulka38111420[[#This Row],[Výsledný čas]]="N",5,IF(Tabulka38111420[[#This Row],[Výsledný čas]]="D",0,IF(Tabulka38111420[[#This Row],[Výsledný čas]]="NEÚČAST",0,Tabulka4[[#Totals],[Týmy muži]]+6-Tabulka38111420[[#This Row],[Umístění]])))</f>
        <v>23</v>
      </c>
      <c r="AH5" s="15">
        <f>_xlfn.RANK.EQ(Tabulka59121521[[#This Row],[Body]],Tabulka59121521[Body],0)</f>
        <v>2</v>
      </c>
      <c r="AI5" s="53" t="s">
        <v>30</v>
      </c>
      <c r="AJ5" s="53">
        <f>Tabulka59121521[[#This Row],[Umístění]]</f>
        <v>2</v>
      </c>
      <c r="AK5" s="53">
        <f>VLOOKUP(Tabulka59121521[[#This Row],[Tým]],Tabulka3[],2,FALSE)</f>
        <v>0</v>
      </c>
      <c r="AL5" s="185">
        <f>VLOOKUP(Tabulka59121521[[#This Row],[Tým]],Tabulka38111420[[Tým]:[Body]],6,FALSE)+Tabulka59121521[[#This Row],[KOREKCE]]</f>
        <v>23</v>
      </c>
      <c r="AP5" s="1"/>
    </row>
    <row r="6" spans="2:42" ht="24.95" customHeight="1" x14ac:dyDescent="0.4">
      <c r="B6" s="52" t="s">
        <v>43</v>
      </c>
      <c r="C6" s="25">
        <f>IF(Tabulka17101319[[#This Row],[ ]]="","",IF(Tabulka17101319[[#This Row],[ ]]="NEÚČAST","",IF(OR(Tabulka17101319[Výsledný čas]="N",Tabulka17101319[Výsledný čas]="D"),$L$4-$L$5,_xlfn.RANK.EQ(Tabulka17101319[[#This Row],[ ]],Tabulka17101319[[ ]],1))))</f>
        <v>3</v>
      </c>
      <c r="D6" s="49" t="s">
        <v>30</v>
      </c>
      <c r="E6" s="51">
        <v>17.388000000000002</v>
      </c>
      <c r="F6" s="51">
        <v>17.21</v>
      </c>
      <c r="G6" s="25">
        <f>IF(OR(Tabulka17101319[[#This Row],[LP]]="N",Tabulka17101319[[#This Row],[PP]]="N"),"N",IF(OR(Tabulka17101319[[#This Row],[LP]]="D",Tabulka17101319[[#This Row],[PP]]="D"),"D",IF(OR(Tabulka17101319[[#This Row],[LP]]="NEÚČAST",Tabulka17101319[[#This Row],[PP]]="NEÚČAST"),"NEÚČAST",IF(OR(Tabulka17101319[[#This Row],[LP]]="",Tabulka17101319[[#This Row],[PP]]=""),"",MAX(Tabulka17101319[[#This Row],[LP]:[PP]])))))</f>
        <v>17.388000000000002</v>
      </c>
      <c r="H6" s="25">
        <f>COUNTIF(Tabulka17101319[[#This Row],[Tým]],"*")</f>
        <v>1</v>
      </c>
      <c r="I6" s="25">
        <f>COUNTIF(Tabulka17101319[[#This Row],[Výsledný čas]],"NEÚČAST")</f>
        <v>0</v>
      </c>
      <c r="J6" s="29">
        <f>IF(Tabulka17101319[[#This Row],[Výsledný čas]]="N",998,IF(Tabulka17101319[[#This Row],[Výsledný čas]]="D",998,IF(Tabulka17101319[[#This Row],[Výsledný čas]]="","",Tabulka17101319[[#This Row],[Výsledný čas]])))</f>
        <v>17.388000000000002</v>
      </c>
      <c r="N6" s="30" t="s">
        <v>102</v>
      </c>
      <c r="O6" s="25">
        <f>IF(Tabulka171013624[[#This Row],[ ]]="","",IF(Tabulka171013624[[#This Row],[ ]]="NEÚČAST","",IF(OR(Tabulka171013624[Výsledný čas]="N",Tabulka171013624[Výsledný čas]="D"),$X$4-$X$5,_xlfn.RANK.EQ(Tabulka171013624[[#This Row],[ ]],Tabulka171013624[[ ]],1))))</f>
        <v>3</v>
      </c>
      <c r="P6" s="49" t="s">
        <v>22</v>
      </c>
      <c r="Q6" s="49">
        <v>20.030999999999999</v>
      </c>
      <c r="R6" s="49">
        <v>23.085999999999999</v>
      </c>
      <c r="S6" s="25">
        <f>IF(OR(Tabulka171013624[[#This Row],[LP]]="N",Tabulka171013624[[#This Row],[PP]]="N"),"N",IF(OR(Tabulka171013624[[#This Row],[LP]]="D",Tabulka171013624[[#This Row],[PP]]="D"),"D",IF(OR(Tabulka171013624[[#This Row],[LP]]="NEÚČAST",Tabulka171013624[[#This Row],[PP]]="NEÚČAST"),"NEÚČAST",IF(OR(Tabulka171013624[[#This Row],[LP]]="",Tabulka171013624[[#This Row],[PP]]=""),"",MAX(Tabulka171013624[[#This Row],[LP]:[PP]])))))</f>
        <v>23.085999999999999</v>
      </c>
      <c r="T6" s="25">
        <f>COUNTIF(Tabulka171013624[[#This Row],[Tým]],"*")</f>
        <v>1</v>
      </c>
      <c r="U6" s="25">
        <f>COUNTIF(Tabulka171013624[[#This Row],[Výsledný čas]],"NEÚČAST")</f>
        <v>0</v>
      </c>
      <c r="V6" s="29">
        <f>IF(Tabulka171013624[[#This Row],[Výsledný čas]]="N",998,IF(Tabulka171013624[[#This Row],[Výsledný čas]]="D",998,IF(Tabulka171013624[[#This Row],[Výsledný čas]]="","",Tabulka171013624[[#This Row],[Výsledný čas]])))</f>
        <v>23.085999999999999</v>
      </c>
      <c r="Z6" s="31">
        <f>IF(OR(Tabulka38111420[Výsledný čas]="N",Tabulka38111420[Výsledný čas]="D",Tabulka38111420[Výsledný čas]="NEÚČAST"),Uvod!$E$4,_xlfn.RANK.EQ(Tabulka38111420[[#This Row],[ ]],Tabulka38111420[[ ]],1))</f>
        <v>3</v>
      </c>
      <c r="AA6" s="51" t="s">
        <v>22</v>
      </c>
      <c r="AB6" s="44">
        <f>VLOOKUP(Tabulka38111420[[#This Row],[Tým]],Tabulka17101319[[Tým]:[ ]],2,FALSE)</f>
        <v>17.794</v>
      </c>
      <c r="AC6" s="44">
        <f>VLOOKUP(Tabulka38111420[[#This Row],[Tým]],Tabulka17101319[[Tým]:[ ]],3,FALSE)</f>
        <v>16.898</v>
      </c>
      <c r="AD6" s="25">
        <f>VLOOKUP(Tabulka38111420[[#This Row],[Tým]],Tabulka17101319[[Tým]:[ ]],4,FALSE)</f>
        <v>17.794</v>
      </c>
      <c r="AE6" s="25">
        <f>VLOOKUP(Tabulka38111420[[#This Row],[Tým]],Tabulka17101319[[Tým]:[ ]],7,FALSE)</f>
        <v>17.794</v>
      </c>
      <c r="AF6" s="29">
        <f>IF(Tabulka38111420[[#This Row],[Výsledný čas]]="N",5,IF(Tabulka38111420[[#This Row],[Výsledný čas]]="D",0,IF(Tabulka38111420[[#This Row],[Výsledný čas]]="NEÚČAST",0,Tabulka4[[#Totals],[Týmy muži]]+6-Tabulka38111420[[#This Row],[Umístění]])))</f>
        <v>22</v>
      </c>
      <c r="AH6" s="15">
        <f>_xlfn.RANK.EQ(Tabulka59121521[[#This Row],[Body]],Tabulka59121521[Body],0)</f>
        <v>3</v>
      </c>
      <c r="AI6" s="53" t="s">
        <v>22</v>
      </c>
      <c r="AJ6" s="53">
        <f>Tabulka59121521[[#This Row],[Umístění]]</f>
        <v>3</v>
      </c>
      <c r="AK6" s="53">
        <f>VLOOKUP(Tabulka59121521[[#This Row],[Tým]],Tabulka3[],2,FALSE)</f>
        <v>0</v>
      </c>
      <c r="AL6" s="185">
        <f>VLOOKUP(Tabulka59121521[[#This Row],[Tým]],Tabulka38111420[[Tým]:[Body]],6,FALSE)+Tabulka59121521[[#This Row],[KOREKCE]]</f>
        <v>22</v>
      </c>
      <c r="AP6" s="1"/>
    </row>
    <row r="7" spans="2:42" ht="24.95" customHeight="1" x14ac:dyDescent="0.4">
      <c r="B7" s="52" t="s">
        <v>44</v>
      </c>
      <c r="C7" s="25">
        <f>IF(Tabulka17101319[[#This Row],[ ]]="","",IF(Tabulka17101319[[#This Row],[ ]]="NEÚČAST","",IF(OR(Tabulka17101319[Výsledný čas]="N",Tabulka17101319[Výsledný čas]="D"),$L$4-$L$5,_xlfn.RANK.EQ(Tabulka17101319[[#This Row],[ ]],Tabulka17101319[[ ]],1))))</f>
        <v>4</v>
      </c>
      <c r="D7" s="49" t="s">
        <v>22</v>
      </c>
      <c r="E7" s="51">
        <v>17.794</v>
      </c>
      <c r="F7" s="51">
        <v>16.898</v>
      </c>
      <c r="G7" s="25">
        <f>IF(OR(Tabulka17101319[[#This Row],[LP]]="N",Tabulka17101319[[#This Row],[PP]]="N"),"N",IF(OR(Tabulka17101319[[#This Row],[LP]]="D",Tabulka17101319[[#This Row],[PP]]="D"),"D",IF(OR(Tabulka17101319[[#This Row],[LP]]="NEÚČAST",Tabulka17101319[[#This Row],[PP]]="NEÚČAST"),"NEÚČAST",IF(OR(Tabulka17101319[[#This Row],[LP]]="",Tabulka17101319[[#This Row],[PP]]=""),"",MAX(Tabulka17101319[[#This Row],[LP]:[PP]])))))</f>
        <v>17.794</v>
      </c>
      <c r="H7" s="25">
        <f>COUNTIF(Tabulka17101319[[#This Row],[Tým]],"*")</f>
        <v>1</v>
      </c>
      <c r="I7" s="25">
        <f>COUNTIF(Tabulka17101319[[#This Row],[Výsledný čas]],"NEÚČAST")</f>
        <v>0</v>
      </c>
      <c r="J7" s="29">
        <f>IF(Tabulka17101319[[#This Row],[Výsledný čas]]="N",998,IF(Tabulka17101319[[#This Row],[Výsledný čas]]="D",998,IF(Tabulka17101319[[#This Row],[Výsledný čas]]="","",Tabulka17101319[[#This Row],[Výsledný čas]])))</f>
        <v>17.794</v>
      </c>
      <c r="N7" s="31" t="s">
        <v>101</v>
      </c>
      <c r="O7" s="25">
        <f>IF(Tabulka171013624[[#This Row],[ ]]="","",IF(Tabulka171013624[[#This Row],[ ]]="NEÚČAST","",IF(OR(Tabulka171013624[Výsledný čas]="N",Tabulka171013624[Výsledný čas]="D"),$X$4-$X$5,_xlfn.RANK.EQ(Tabulka171013624[[#This Row],[ ]],Tabulka171013624[[ ]],1))))</f>
        <v>4</v>
      </c>
      <c r="P7" s="49" t="s">
        <v>21</v>
      </c>
      <c r="Q7" s="49">
        <v>23.042000000000002</v>
      </c>
      <c r="R7" s="49">
        <v>23.225999999999999</v>
      </c>
      <c r="S7" s="25">
        <f>IF(OR(Tabulka171013624[[#This Row],[LP]]="N",Tabulka171013624[[#This Row],[PP]]="N"),"N",IF(OR(Tabulka171013624[[#This Row],[LP]]="D",Tabulka171013624[[#This Row],[PP]]="D"),"D",IF(OR(Tabulka171013624[[#This Row],[LP]]="NEÚČAST",Tabulka171013624[[#This Row],[PP]]="NEÚČAST"),"NEÚČAST",IF(OR(Tabulka171013624[[#This Row],[LP]]="",Tabulka171013624[[#This Row],[PP]]=""),"",MAX(Tabulka171013624[[#This Row],[LP]:[PP]])))))</f>
        <v>23.225999999999999</v>
      </c>
      <c r="T7" s="25">
        <f>COUNTIF(Tabulka171013624[[#This Row],[Tým]],"*")</f>
        <v>1</v>
      </c>
      <c r="U7" s="25">
        <f>COUNTIF(Tabulka171013624[[#This Row],[Výsledný čas]],"NEÚČAST")</f>
        <v>0</v>
      </c>
      <c r="V7" s="29">
        <f>IF(Tabulka171013624[[#This Row],[Výsledný čas]]="N",998,IF(Tabulka171013624[[#This Row],[Výsledný čas]]="D",998,IF(Tabulka171013624[[#This Row],[Výsledný čas]]="","",Tabulka171013624[[#This Row],[Výsledný čas]])))</f>
        <v>23.225999999999999</v>
      </c>
      <c r="Z7" s="31">
        <f>IF(OR(Tabulka38111420[Výsledný čas]="N",Tabulka38111420[Výsledný čas]="D",Tabulka38111420[Výsledný čas]="NEÚČAST"),Uvod!$E$4,_xlfn.RANK.EQ(Tabulka38111420[[#This Row],[ ]],Tabulka38111420[[ ]],1))</f>
        <v>4</v>
      </c>
      <c r="AA7" s="51" t="s">
        <v>20</v>
      </c>
      <c r="AB7" s="44">
        <f>VLOOKUP(Tabulka38111420[[#This Row],[Tým]],Tabulka17101319[[Tým]:[ ]],2,FALSE)</f>
        <v>19.413</v>
      </c>
      <c r="AC7" s="44">
        <f>VLOOKUP(Tabulka38111420[[#This Row],[Tým]],Tabulka17101319[[Tým]:[ ]],3,FALSE)</f>
        <v>17.693999999999999</v>
      </c>
      <c r="AD7" s="25">
        <f>VLOOKUP(Tabulka38111420[[#This Row],[Tým]],Tabulka17101319[[Tým]:[ ]],4,FALSE)</f>
        <v>19.413</v>
      </c>
      <c r="AE7" s="25">
        <f>VLOOKUP(Tabulka38111420[[#This Row],[Tým]],Tabulka17101319[[Tým]:[ ]],7,FALSE)</f>
        <v>19.413</v>
      </c>
      <c r="AF7" s="29">
        <f>IF(Tabulka38111420[[#This Row],[Výsledný čas]]="N",5,IF(Tabulka38111420[[#This Row],[Výsledný čas]]="D",0,IF(Tabulka38111420[[#This Row],[Výsledný čas]]="NEÚČAST",0,Tabulka4[[#Totals],[Týmy muži]]+6-Tabulka38111420[[#This Row],[Umístění]])))</f>
        <v>21</v>
      </c>
      <c r="AH7" s="15">
        <f>_xlfn.RANK.EQ(Tabulka59121521[[#This Row],[Body]],Tabulka59121521[Body],0)</f>
        <v>4</v>
      </c>
      <c r="AI7" s="53" t="s">
        <v>20</v>
      </c>
      <c r="AJ7" s="53">
        <f>Tabulka59121521[[#This Row],[Umístění]]</f>
        <v>4</v>
      </c>
      <c r="AK7" s="53">
        <f>VLOOKUP(Tabulka59121521[[#This Row],[Tým]],Tabulka3[],2,FALSE)</f>
        <v>0</v>
      </c>
      <c r="AL7" s="185">
        <f>VLOOKUP(Tabulka59121521[[#This Row],[Tým]],Tabulka38111420[[Tým]:[Body]],6,FALSE)+Tabulka59121521[[#This Row],[KOREKCE]]</f>
        <v>21</v>
      </c>
      <c r="AP7" s="1"/>
    </row>
    <row r="8" spans="2:42" ht="24.95" customHeight="1" x14ac:dyDescent="0.4">
      <c r="B8" s="52" t="s">
        <v>45</v>
      </c>
      <c r="C8" s="25">
        <f>IF(Tabulka17101319[[#This Row],[ ]]="","",IF(Tabulka17101319[[#This Row],[ ]]="NEÚČAST","",IF(OR(Tabulka17101319[Výsledný čas]="N",Tabulka17101319[Výsledný čas]="D"),$L$4-$L$5,_xlfn.RANK.EQ(Tabulka17101319[[#This Row],[ ]],Tabulka17101319[[ ]],1))))</f>
        <v>5</v>
      </c>
      <c r="D8" s="49" t="s">
        <v>20</v>
      </c>
      <c r="E8" s="51">
        <v>19.413</v>
      </c>
      <c r="F8" s="51">
        <v>17.693999999999999</v>
      </c>
      <c r="G8" s="25">
        <f>IF(OR(Tabulka17101319[[#This Row],[LP]]="N",Tabulka17101319[[#This Row],[PP]]="N"),"N",IF(OR(Tabulka17101319[[#This Row],[LP]]="D",Tabulka17101319[[#This Row],[PP]]="D"),"D",IF(OR(Tabulka17101319[[#This Row],[LP]]="NEÚČAST",Tabulka17101319[[#This Row],[PP]]="NEÚČAST"),"NEÚČAST",IF(OR(Tabulka17101319[[#This Row],[LP]]="",Tabulka17101319[[#This Row],[PP]]=""),"",MAX(Tabulka17101319[[#This Row],[LP]:[PP]])))))</f>
        <v>19.413</v>
      </c>
      <c r="H8" s="25">
        <f>COUNTIF(Tabulka17101319[[#This Row],[Tým]],"*")</f>
        <v>1</v>
      </c>
      <c r="I8" s="25">
        <f>COUNTIF(Tabulka17101319[[#This Row],[Výsledný čas]],"NEÚČAST")</f>
        <v>0</v>
      </c>
      <c r="J8" s="29">
        <f>IF(Tabulka17101319[[#This Row],[Výsledný čas]]="N",998,IF(Tabulka17101319[[#This Row],[Výsledný čas]]="D",998,IF(Tabulka17101319[[#This Row],[Výsledný čas]]="","",Tabulka17101319[[#This Row],[Výsledný čas]])))</f>
        <v>19.413</v>
      </c>
      <c r="N8" s="31" t="s">
        <v>69</v>
      </c>
      <c r="O8" s="25">
        <f>IF(Tabulka171013624[[#This Row],[ ]]="","",IF(Tabulka171013624[[#This Row],[ ]]="NEÚČAST","",IF(OR(Tabulka171013624[Výsledný čas]="N",Tabulka171013624[Výsledný čas]="D"),$X$4-$X$5,_xlfn.RANK.EQ(Tabulka171013624[[#This Row],[ ]],Tabulka171013624[[ ]],1))))</f>
        <v>5</v>
      </c>
      <c r="P8" s="49" t="s">
        <v>23</v>
      </c>
      <c r="Q8" s="49">
        <v>23.940999999999999</v>
      </c>
      <c r="R8" s="49">
        <v>22.294</v>
      </c>
      <c r="S8" s="25">
        <f>IF(OR(Tabulka171013624[[#This Row],[LP]]="N",Tabulka171013624[[#This Row],[PP]]="N"),"N",IF(OR(Tabulka171013624[[#This Row],[LP]]="D",Tabulka171013624[[#This Row],[PP]]="D"),"D",IF(OR(Tabulka171013624[[#This Row],[LP]]="NEÚČAST",Tabulka171013624[[#This Row],[PP]]="NEÚČAST"),"NEÚČAST",IF(OR(Tabulka171013624[[#This Row],[LP]]="",Tabulka171013624[[#This Row],[PP]]=""),"",MAX(Tabulka171013624[[#This Row],[LP]:[PP]])))))</f>
        <v>23.940999999999999</v>
      </c>
      <c r="T8" s="25">
        <f>COUNTIF(Tabulka171013624[[#This Row],[Tým]],"*")</f>
        <v>1</v>
      </c>
      <c r="U8" s="25">
        <f>COUNTIF(Tabulka171013624[[#This Row],[Výsledný čas]],"NEÚČAST")</f>
        <v>0</v>
      </c>
      <c r="V8" s="29">
        <f>IF(Tabulka171013624[[#This Row],[Výsledný čas]]="N",998,IF(Tabulka171013624[[#This Row],[Výsledný čas]]="D",998,IF(Tabulka171013624[[#This Row],[Výsledný čas]]="","",Tabulka171013624[[#This Row],[Výsledný čas]])))</f>
        <v>23.940999999999999</v>
      </c>
      <c r="Z8" s="31">
        <f>IF(OR(Tabulka38111420[Výsledný čas]="N",Tabulka38111420[Výsledný čas]="D",Tabulka38111420[Výsledný čas]="NEÚČAST"),Uvod!$E$4,_xlfn.RANK.EQ(Tabulka38111420[[#This Row],[ ]],Tabulka38111420[[ ]],1))</f>
        <v>5</v>
      </c>
      <c r="AA8" s="51" t="s">
        <v>11</v>
      </c>
      <c r="AB8" s="44">
        <f>VLOOKUP(Tabulka38111420[[#This Row],[Tým]],Tabulka17101319[[Tým]:[ ]],2,FALSE)</f>
        <v>19.821999999999999</v>
      </c>
      <c r="AC8" s="44">
        <f>VLOOKUP(Tabulka38111420[[#This Row],[Tým]],Tabulka17101319[[Tým]:[ ]],3,FALSE)</f>
        <v>19.477</v>
      </c>
      <c r="AD8" s="25">
        <f>VLOOKUP(Tabulka38111420[[#This Row],[Tým]],Tabulka17101319[[Tým]:[ ]],4,FALSE)</f>
        <v>19.821999999999999</v>
      </c>
      <c r="AE8" s="25">
        <f>VLOOKUP(Tabulka38111420[[#This Row],[Tým]],Tabulka17101319[[Tým]:[ ]],7,FALSE)</f>
        <v>19.821999999999999</v>
      </c>
      <c r="AF8" s="29">
        <f>IF(Tabulka38111420[[#This Row],[Výsledný čas]]="N",5,IF(Tabulka38111420[[#This Row],[Výsledný čas]]="D",0,IF(Tabulka38111420[[#This Row],[Výsledný čas]]="NEÚČAST",0,Tabulka4[[#Totals],[Týmy muži]]+6-Tabulka38111420[[#This Row],[Umístění]])))</f>
        <v>20</v>
      </c>
      <c r="AH8" s="15">
        <f>_xlfn.RANK.EQ(Tabulka59121521[[#This Row],[Body]],Tabulka59121521[Body],0)</f>
        <v>5</v>
      </c>
      <c r="AI8" s="53" t="s">
        <v>11</v>
      </c>
      <c r="AJ8" s="53">
        <f>Tabulka59121521[[#This Row],[Umístění]]</f>
        <v>5</v>
      </c>
      <c r="AK8" s="53">
        <f>VLOOKUP(Tabulka59121521[[#This Row],[Tým]],Tabulka3[],2,FALSE)</f>
        <v>0</v>
      </c>
      <c r="AL8" s="185">
        <f>VLOOKUP(Tabulka59121521[[#This Row],[Tým]],Tabulka38111420[[Tým]:[Body]],6,FALSE)+Tabulka59121521[[#This Row],[KOREKCE]]</f>
        <v>20</v>
      </c>
      <c r="AP8" s="1"/>
    </row>
    <row r="9" spans="2:42" ht="24.95" customHeight="1" x14ac:dyDescent="0.4">
      <c r="B9" s="52" t="s">
        <v>46</v>
      </c>
      <c r="C9" s="25">
        <f>IF(Tabulka17101319[[#This Row],[ ]]="","",IF(Tabulka17101319[[#This Row],[ ]]="NEÚČAST","",IF(OR(Tabulka17101319[Výsledný čas]="N",Tabulka17101319[Výsledný čas]="D"),$L$4-$L$5,_xlfn.RANK.EQ(Tabulka17101319[[#This Row],[ ]],Tabulka17101319[[ ]],1))))</f>
        <v>6</v>
      </c>
      <c r="D9" s="49" t="s">
        <v>37</v>
      </c>
      <c r="E9" s="51">
        <v>19.619</v>
      </c>
      <c r="F9" s="51">
        <v>18.864000000000001</v>
      </c>
      <c r="G9" s="25">
        <f>IF(OR(Tabulka17101319[[#This Row],[LP]]="N",Tabulka17101319[[#This Row],[PP]]="N"),"N",IF(OR(Tabulka17101319[[#This Row],[LP]]="D",Tabulka17101319[[#This Row],[PP]]="D"),"D",IF(OR(Tabulka17101319[[#This Row],[LP]]="NEÚČAST",Tabulka17101319[[#This Row],[PP]]="NEÚČAST"),"NEÚČAST",IF(OR(Tabulka17101319[[#This Row],[LP]]="",Tabulka17101319[[#This Row],[PP]]=""),"",MAX(Tabulka17101319[[#This Row],[LP]:[PP]])))))</f>
        <v>19.619</v>
      </c>
      <c r="H9" s="25">
        <f>COUNTIF(Tabulka17101319[[#This Row],[Tým]],"*")</f>
        <v>1</v>
      </c>
      <c r="I9" s="25">
        <f>COUNTIF(Tabulka17101319[[#This Row],[Výsledný čas]],"NEÚČAST")</f>
        <v>0</v>
      </c>
      <c r="J9" s="29">
        <f>IF(Tabulka17101319[[#This Row],[Výsledný čas]]="N",998,IF(Tabulka17101319[[#This Row],[Výsledný čas]]="D",998,IF(Tabulka17101319[[#This Row],[Výsledný čas]]="","",Tabulka17101319[[#This Row],[Výsledný čas]])))</f>
        <v>19.619</v>
      </c>
      <c r="N9" s="30" t="s">
        <v>67</v>
      </c>
      <c r="O9" s="25">
        <f>IF(Tabulka171013624[[#This Row],[ ]]="","",IF(Tabulka171013624[[#This Row],[ ]]="NEÚČAST","",IF(OR(Tabulka171013624[Výsledný čas]="N",Tabulka171013624[Výsledný čas]="D"),$X$4-$X$5,_xlfn.RANK.EQ(Tabulka171013624[[#This Row],[ ]],Tabulka171013624[[ ]],1))))</f>
        <v>6</v>
      </c>
      <c r="P9" s="49" t="s">
        <v>19</v>
      </c>
      <c r="Q9" s="49">
        <v>24.038</v>
      </c>
      <c r="R9" s="49">
        <v>21.288</v>
      </c>
      <c r="S9" s="25">
        <f>IF(OR(Tabulka171013624[[#This Row],[LP]]="N",Tabulka171013624[[#This Row],[PP]]="N"),"N",IF(OR(Tabulka171013624[[#This Row],[LP]]="D",Tabulka171013624[[#This Row],[PP]]="D"),"D",IF(OR(Tabulka171013624[[#This Row],[LP]]="NEÚČAST",Tabulka171013624[[#This Row],[PP]]="NEÚČAST"),"NEÚČAST",IF(OR(Tabulka171013624[[#This Row],[LP]]="",Tabulka171013624[[#This Row],[PP]]=""),"",MAX(Tabulka171013624[[#This Row],[LP]:[PP]])))))</f>
        <v>24.038</v>
      </c>
      <c r="T9" s="25">
        <f>COUNTIF(Tabulka171013624[[#This Row],[Tým]],"*")</f>
        <v>1</v>
      </c>
      <c r="U9" s="25">
        <f>COUNTIF(Tabulka171013624[[#This Row],[Výsledný čas]],"NEÚČAST")</f>
        <v>0</v>
      </c>
      <c r="V9" s="29">
        <f>IF(Tabulka171013624[[#This Row],[Výsledný čas]]="N",998,IF(Tabulka171013624[[#This Row],[Výsledný čas]]="D",998,IF(Tabulka171013624[[#This Row],[Výsledný čas]]="","",Tabulka171013624[[#This Row],[Výsledný čas]])))</f>
        <v>24.038</v>
      </c>
      <c r="Z9" s="31">
        <f>IF(OR(Tabulka38111420[Výsledný čas]="N",Tabulka38111420[Výsledný čas]="D",Tabulka38111420[Výsledný čas]="NEÚČAST"),Uvod!$E$4,_xlfn.RANK.EQ(Tabulka38111420[[#This Row],[ ]],Tabulka38111420[[ ]],1))</f>
        <v>6</v>
      </c>
      <c r="AA9" s="51" t="s">
        <v>15</v>
      </c>
      <c r="AB9" s="44">
        <f>VLOOKUP(Tabulka38111420[[#This Row],[Tým]],Tabulka17101319[[Tým]:[ ]],2,FALSE)</f>
        <v>21.081</v>
      </c>
      <c r="AC9" s="44">
        <f>VLOOKUP(Tabulka38111420[[#This Row],[Tým]],Tabulka17101319[[Tým]:[ ]],3,FALSE)</f>
        <v>21.56</v>
      </c>
      <c r="AD9" s="25">
        <f>VLOOKUP(Tabulka38111420[[#This Row],[Tým]],Tabulka17101319[[Tým]:[ ]],4,FALSE)</f>
        <v>21.56</v>
      </c>
      <c r="AE9" s="25">
        <f>VLOOKUP(Tabulka38111420[[#This Row],[Tým]],Tabulka17101319[[Tým]:[ ]],7,FALSE)</f>
        <v>21.56</v>
      </c>
      <c r="AF9" s="29">
        <f>IF(Tabulka38111420[[#This Row],[Výsledný čas]]="N",5,IF(Tabulka38111420[[#This Row],[Výsledný čas]]="D",0,IF(Tabulka38111420[[#This Row],[Výsledný čas]]="NEÚČAST",0,Tabulka4[[#Totals],[Týmy muži]]+6-Tabulka38111420[[#This Row],[Umístění]])))</f>
        <v>19</v>
      </c>
      <c r="AH9" s="15">
        <f>_xlfn.RANK.EQ(Tabulka59121521[[#This Row],[Body]],Tabulka59121521[Body],0)</f>
        <v>6</v>
      </c>
      <c r="AI9" s="53" t="s">
        <v>15</v>
      </c>
      <c r="AJ9" s="53">
        <f>Tabulka59121521[[#This Row],[Umístění]]</f>
        <v>6</v>
      </c>
      <c r="AK9" s="53">
        <f>VLOOKUP(Tabulka59121521[[#This Row],[Tým]],Tabulka3[],2,FALSE)</f>
        <v>0</v>
      </c>
      <c r="AL9" s="185">
        <f>VLOOKUP(Tabulka59121521[[#This Row],[Tým]],Tabulka38111420[[Tým]:[Body]],6,FALSE)+Tabulka59121521[[#This Row],[KOREKCE]]</f>
        <v>19</v>
      </c>
      <c r="AP9" s="1"/>
    </row>
    <row r="10" spans="2:42" ht="24.95" customHeight="1" x14ac:dyDescent="0.4">
      <c r="B10" s="52" t="s">
        <v>47</v>
      </c>
      <c r="C10" s="25">
        <f>IF(Tabulka17101319[[#This Row],[ ]]="","",IF(Tabulka17101319[[#This Row],[ ]]="NEÚČAST","",IF(OR(Tabulka17101319[Výsledný čas]="N",Tabulka17101319[Výsledný čas]="D"),$L$4-$L$5,_xlfn.RANK.EQ(Tabulka17101319[[#This Row],[ ]],Tabulka17101319[[ ]],1))))</f>
        <v>7</v>
      </c>
      <c r="D10" s="49" t="s">
        <v>38</v>
      </c>
      <c r="E10" s="49">
        <v>19.733000000000001</v>
      </c>
      <c r="F10" s="51">
        <v>19.396999999999998</v>
      </c>
      <c r="G10" s="25">
        <f>IF(OR(Tabulka17101319[[#This Row],[LP]]="N",Tabulka17101319[[#This Row],[PP]]="N"),"N",IF(OR(Tabulka17101319[[#This Row],[LP]]="D",Tabulka17101319[[#This Row],[PP]]="D"),"D",IF(OR(Tabulka17101319[[#This Row],[LP]]="NEÚČAST",Tabulka17101319[[#This Row],[PP]]="NEÚČAST"),"NEÚČAST",IF(OR(Tabulka17101319[[#This Row],[LP]]="",Tabulka17101319[[#This Row],[PP]]=""),"",MAX(Tabulka17101319[[#This Row],[LP]:[PP]])))))</f>
        <v>19.733000000000001</v>
      </c>
      <c r="H10" s="25">
        <f>COUNTIF(Tabulka17101319[[#This Row],[Tým]],"*")</f>
        <v>1</v>
      </c>
      <c r="I10" s="25">
        <f>COUNTIF(Tabulka17101319[[#This Row],[Výsledný čas]],"NEÚČAST")</f>
        <v>0</v>
      </c>
      <c r="J10" s="29">
        <f>IF(Tabulka17101319[[#This Row],[Výsledný čas]]="N",998,IF(Tabulka17101319[[#This Row],[Výsledný čas]]="D",998,IF(Tabulka17101319[[#This Row],[Výsledný čas]]="","",Tabulka17101319[[#This Row],[Výsledný čas]])))</f>
        <v>19.733000000000001</v>
      </c>
      <c r="N10" s="30" t="s">
        <v>99</v>
      </c>
      <c r="O10" s="25">
        <f>IF(Tabulka171013624[[#This Row],[ ]]="","",IF(Tabulka171013624[[#This Row],[ ]]="NEÚČAST","",IF(OR(Tabulka171013624[Výsledný čas]="N",Tabulka171013624[Výsledný čas]="D"),$X$4-$X$5,_xlfn.RANK.EQ(Tabulka171013624[[#This Row],[ ]],Tabulka171013624[[ ]],1))))</f>
        <v>7</v>
      </c>
      <c r="P10" s="49" t="s">
        <v>15</v>
      </c>
      <c r="Q10" s="49">
        <v>38.037999999999997</v>
      </c>
      <c r="R10" s="49">
        <v>22.898</v>
      </c>
      <c r="S10" s="25">
        <f>IF(OR(Tabulka171013624[[#This Row],[LP]]="N",Tabulka171013624[[#This Row],[PP]]="N"),"N",IF(OR(Tabulka171013624[[#This Row],[LP]]="D",Tabulka171013624[[#This Row],[PP]]="D"),"D",IF(OR(Tabulka171013624[[#This Row],[LP]]="NEÚČAST",Tabulka171013624[[#This Row],[PP]]="NEÚČAST"),"NEÚČAST",IF(OR(Tabulka171013624[[#This Row],[LP]]="",Tabulka171013624[[#This Row],[PP]]=""),"",MAX(Tabulka171013624[[#This Row],[LP]:[PP]])))))</f>
        <v>38.037999999999997</v>
      </c>
      <c r="T10" s="25">
        <f>COUNTIF(Tabulka171013624[[#This Row],[Tým]],"*")</f>
        <v>1</v>
      </c>
      <c r="U10" s="25">
        <f>COUNTIF(Tabulka171013624[[#This Row],[Výsledný čas]],"NEÚČAST")</f>
        <v>0</v>
      </c>
      <c r="V10" s="29">
        <f>IF(Tabulka171013624[[#This Row],[Výsledný čas]]="N",998,IF(Tabulka171013624[[#This Row],[Výsledný čas]]="D",998,IF(Tabulka171013624[[#This Row],[Výsledný čas]]="","",Tabulka171013624[[#This Row],[Výsledný čas]])))</f>
        <v>38.037999999999997</v>
      </c>
      <c r="Z10" s="31">
        <f>IF(OR(Tabulka38111420[Výsledný čas]="N",Tabulka38111420[Výsledný čas]="D",Tabulka38111420[Výsledný čas]="NEÚČAST"),Uvod!$E$4,_xlfn.RANK.EQ(Tabulka38111420[[#This Row],[ ]],Tabulka38111420[[ ]],1))</f>
        <v>7</v>
      </c>
      <c r="AA10" s="51" t="s">
        <v>10</v>
      </c>
      <c r="AB10" s="44">
        <f>VLOOKUP(Tabulka38111420[[#This Row],[Tým]],Tabulka17101319[[Tým]:[ ]],2,FALSE)</f>
        <v>21.675999999999998</v>
      </c>
      <c r="AC10" s="44">
        <f>VLOOKUP(Tabulka38111420[[#This Row],[Tým]],Tabulka17101319[[Tým]:[ ]],3,FALSE)</f>
        <v>16.641999999999999</v>
      </c>
      <c r="AD10" s="25">
        <f>VLOOKUP(Tabulka38111420[[#This Row],[Tým]],Tabulka17101319[[Tým]:[ ]],4,FALSE)</f>
        <v>21.675999999999998</v>
      </c>
      <c r="AE10" s="25">
        <f>VLOOKUP(Tabulka38111420[[#This Row],[Tým]],Tabulka17101319[[Tým]:[ ]],7,FALSE)</f>
        <v>21.675999999999998</v>
      </c>
      <c r="AF10" s="29">
        <f>IF(Tabulka38111420[[#This Row],[Výsledný čas]]="N",5,IF(Tabulka38111420[[#This Row],[Výsledný čas]]="D",0,IF(Tabulka38111420[[#This Row],[Výsledný čas]]="NEÚČAST",0,Tabulka4[[#Totals],[Týmy muži]]+6-Tabulka38111420[[#This Row],[Umístění]])))</f>
        <v>18</v>
      </c>
      <c r="AH10" s="15">
        <f>_xlfn.RANK.EQ(Tabulka59121521[[#This Row],[Body]],Tabulka59121521[Body],0)</f>
        <v>7</v>
      </c>
      <c r="AI10" s="53" t="s">
        <v>10</v>
      </c>
      <c r="AJ10" s="53">
        <f>Tabulka59121521[[#This Row],[Umístění]]</f>
        <v>7</v>
      </c>
      <c r="AK10" s="53">
        <f>VLOOKUP(Tabulka59121521[[#This Row],[Tým]],Tabulka3[],2,FALSE)</f>
        <v>0</v>
      </c>
      <c r="AL10" s="185">
        <f>VLOOKUP(Tabulka59121521[[#This Row],[Tým]],Tabulka38111420[[Tým]:[Body]],6,FALSE)+Tabulka59121521[[#This Row],[KOREKCE]]</f>
        <v>18</v>
      </c>
      <c r="AP10" s="1"/>
    </row>
    <row r="11" spans="2:42" ht="24.95" customHeight="1" x14ac:dyDescent="0.4">
      <c r="B11" s="52" t="s">
        <v>48</v>
      </c>
      <c r="C11" s="25">
        <f>IF(Tabulka17101319[[#This Row],[ ]]="","",IF(Tabulka17101319[[#This Row],[ ]]="NEÚČAST","",IF(OR(Tabulka17101319[Výsledný čas]="N",Tabulka17101319[Výsledný čas]="D"),$L$4-$L$5,_xlfn.RANK.EQ(Tabulka17101319[[#This Row],[ ]],Tabulka17101319[[ ]],1))))</f>
        <v>8</v>
      </c>
      <c r="D11" s="49" t="s">
        <v>11</v>
      </c>
      <c r="E11" s="51">
        <v>19.821999999999999</v>
      </c>
      <c r="F11" s="51">
        <v>19.477</v>
      </c>
      <c r="G11" s="25">
        <f>IF(OR(Tabulka17101319[[#This Row],[LP]]="N",Tabulka17101319[[#This Row],[PP]]="N"),"N",IF(OR(Tabulka17101319[[#This Row],[LP]]="D",Tabulka17101319[[#This Row],[PP]]="D"),"D",IF(OR(Tabulka17101319[[#This Row],[LP]]="NEÚČAST",Tabulka17101319[[#This Row],[PP]]="NEÚČAST"),"NEÚČAST",IF(OR(Tabulka17101319[[#This Row],[LP]]="",Tabulka17101319[[#This Row],[PP]]=""),"",MAX(Tabulka17101319[[#This Row],[LP]:[PP]])))))</f>
        <v>19.821999999999999</v>
      </c>
      <c r="H11" s="25">
        <f>COUNTIF(Tabulka17101319[[#This Row],[Tým]],"*")</f>
        <v>1</v>
      </c>
      <c r="I11" s="25">
        <f>COUNTIF(Tabulka17101319[[#This Row],[Výsledný čas]],"NEÚČAST")</f>
        <v>0</v>
      </c>
      <c r="J11" s="29">
        <f>IF(Tabulka17101319[[#This Row],[Výsledný čas]]="N",998,IF(Tabulka17101319[[#This Row],[Výsledný čas]]="D",998,IF(Tabulka17101319[[#This Row],[Výsledný čas]]="","",Tabulka17101319[[#This Row],[Výsledný čas]])))</f>
        <v>19.821999999999999</v>
      </c>
      <c r="N11" s="30" t="s">
        <v>65</v>
      </c>
      <c r="O11" s="25">
        <f>IF(Tabulka171013624[[#This Row],[ ]]="","",IF(Tabulka171013624[[#This Row],[ ]]="NEÚČAST","",IF(OR(Tabulka171013624[Výsledný čas]="N",Tabulka171013624[Výsledný čas]="D"),$X$4-$X$5,_xlfn.RANK.EQ(Tabulka171013624[[#This Row],[ ]],Tabulka171013624[[ ]],1))))</f>
        <v>11</v>
      </c>
      <c r="P11" s="49" t="s">
        <v>16</v>
      </c>
      <c r="Q11" s="49">
        <v>25.088999999999999</v>
      </c>
      <c r="R11" s="49" t="s">
        <v>9</v>
      </c>
      <c r="S11" s="25" t="str">
        <f>IF(OR(Tabulka171013624[[#This Row],[LP]]="N",Tabulka171013624[[#This Row],[PP]]="N"),"N",IF(OR(Tabulka171013624[[#This Row],[LP]]="D",Tabulka171013624[[#This Row],[PP]]="D"),"D",IF(OR(Tabulka171013624[[#This Row],[LP]]="NEÚČAST",Tabulka171013624[[#This Row],[PP]]="NEÚČAST"),"NEÚČAST",IF(OR(Tabulka171013624[[#This Row],[LP]]="",Tabulka171013624[[#This Row],[PP]]=""),"",MAX(Tabulka171013624[[#This Row],[LP]:[PP]])))))</f>
        <v>N</v>
      </c>
      <c r="T11" s="25">
        <f>COUNTIF(Tabulka171013624[[#This Row],[Tým]],"*")</f>
        <v>1</v>
      </c>
      <c r="U11" s="25">
        <f>COUNTIF(Tabulka171013624[[#This Row],[Výsledný čas]],"NEÚČAST")</f>
        <v>0</v>
      </c>
      <c r="V11" s="29">
        <f>IF(Tabulka171013624[[#This Row],[Výsledný čas]]="N",998,IF(Tabulka171013624[[#This Row],[Výsledný čas]]="D",998,IF(Tabulka171013624[[#This Row],[Výsledný čas]]="","",Tabulka171013624[[#This Row],[Výsledný čas]])))</f>
        <v>998</v>
      </c>
      <c r="Z11" s="31">
        <f>IF(OR(Tabulka38111420[Výsledný čas]="N",Tabulka38111420[Výsledný čas]="D",Tabulka38111420[Výsledný čas]="NEÚČAST"),Uvod!$E$4,_xlfn.RANK.EQ(Tabulka38111420[[#This Row],[ ]],Tabulka38111420[[ ]],1))</f>
        <v>8</v>
      </c>
      <c r="AA11" s="51" t="s">
        <v>18</v>
      </c>
      <c r="AB11" s="44">
        <f>VLOOKUP(Tabulka38111420[[#This Row],[Tým]],Tabulka17101319[[Tým]:[ ]],2,FALSE)</f>
        <v>18.533999999999999</v>
      </c>
      <c r="AC11" s="44">
        <f>VLOOKUP(Tabulka38111420[[#This Row],[Tým]],Tabulka17101319[[Tým]:[ ]],3,FALSE)</f>
        <v>21.919</v>
      </c>
      <c r="AD11" s="25">
        <f>VLOOKUP(Tabulka38111420[[#This Row],[Tým]],Tabulka17101319[[Tým]:[ ]],4,FALSE)</f>
        <v>21.919</v>
      </c>
      <c r="AE11" s="25">
        <f>VLOOKUP(Tabulka38111420[[#This Row],[Tým]],Tabulka17101319[[Tým]:[ ]],7,FALSE)</f>
        <v>21.919</v>
      </c>
      <c r="AF11" s="29">
        <f>IF(Tabulka38111420[[#This Row],[Výsledný čas]]="N",5,IF(Tabulka38111420[[#This Row],[Výsledný čas]]="D",0,IF(Tabulka38111420[[#This Row],[Výsledný čas]]="NEÚČAST",0,Tabulka4[[#Totals],[Týmy muži]]+6-Tabulka38111420[[#This Row],[Umístění]])))</f>
        <v>17</v>
      </c>
      <c r="AH11" s="15">
        <f>_xlfn.RANK.EQ(Tabulka59121521[[#This Row],[Body]],Tabulka59121521[Body],0)</f>
        <v>8</v>
      </c>
      <c r="AI11" s="53" t="s">
        <v>18</v>
      </c>
      <c r="AJ11" s="53">
        <f>Tabulka59121521[[#This Row],[Umístění]]</f>
        <v>8</v>
      </c>
      <c r="AK11" s="53">
        <f>VLOOKUP(Tabulka59121521[[#This Row],[Tým]],Tabulka3[],2,FALSE)</f>
        <v>0</v>
      </c>
      <c r="AL11" s="185">
        <f>VLOOKUP(Tabulka59121521[[#This Row],[Tým]],Tabulka38111420[[Tým]:[Body]],6,FALSE)+Tabulka59121521[[#This Row],[KOREKCE]]</f>
        <v>17</v>
      </c>
      <c r="AP11" s="1"/>
    </row>
    <row r="12" spans="2:42" ht="24.95" customHeight="1" x14ac:dyDescent="0.4">
      <c r="B12" s="52" t="s">
        <v>49</v>
      </c>
      <c r="C12" s="25">
        <f>IF(Tabulka17101319[[#This Row],[ ]]="","",IF(Tabulka17101319[[#This Row],[ ]]="NEÚČAST","",IF(OR(Tabulka17101319[Výsledný čas]="N",Tabulka17101319[Výsledný čas]="D"),$L$4-$L$5,_xlfn.RANK.EQ(Tabulka17101319[[#This Row],[ ]],Tabulka17101319[[ ]],1))))</f>
        <v>9</v>
      </c>
      <c r="D12" s="49" t="s">
        <v>15</v>
      </c>
      <c r="E12" s="51">
        <v>21.081</v>
      </c>
      <c r="F12" s="51">
        <v>21.56</v>
      </c>
      <c r="G12" s="25">
        <f>IF(OR(Tabulka17101319[[#This Row],[LP]]="N",Tabulka17101319[[#This Row],[PP]]="N"),"N",IF(OR(Tabulka17101319[[#This Row],[LP]]="D",Tabulka17101319[[#This Row],[PP]]="D"),"D",IF(OR(Tabulka17101319[[#This Row],[LP]]="NEÚČAST",Tabulka17101319[[#This Row],[PP]]="NEÚČAST"),"NEÚČAST",IF(OR(Tabulka17101319[[#This Row],[LP]]="",Tabulka17101319[[#This Row],[PP]]=""),"",MAX(Tabulka17101319[[#This Row],[LP]:[PP]])))))</f>
        <v>21.56</v>
      </c>
      <c r="H12" s="25">
        <f>COUNTIF(Tabulka17101319[[#This Row],[Tým]],"*")</f>
        <v>1</v>
      </c>
      <c r="I12" s="25">
        <f>COUNTIF(Tabulka17101319[[#This Row],[Výsledný čas]],"NEÚČAST")</f>
        <v>0</v>
      </c>
      <c r="J12" s="29">
        <f>IF(Tabulka17101319[[#This Row],[Výsledný čas]]="N",998,IF(Tabulka17101319[[#This Row],[Výsledný čas]]="D",998,IF(Tabulka17101319[[#This Row],[Výsledný čas]]="","",Tabulka17101319[[#This Row],[Výsledný čas]])))</f>
        <v>21.56</v>
      </c>
      <c r="N12" s="31" t="s">
        <v>68</v>
      </c>
      <c r="O12" s="25">
        <f>IF(Tabulka171013624[[#This Row],[ ]]="","",IF(Tabulka171013624[[#This Row],[ ]]="NEÚČAST","",IF(OR(Tabulka171013624[Výsledný čas]="N",Tabulka171013624[Výsledný čas]="D"),$X$4-$X$5,_xlfn.RANK.EQ(Tabulka171013624[[#This Row],[ ]],Tabulka171013624[[ ]],1))))</f>
        <v>11</v>
      </c>
      <c r="P12" s="49" t="s">
        <v>24</v>
      </c>
      <c r="Q12" s="49">
        <v>38.380000000000003</v>
      </c>
      <c r="R12" s="49" t="s">
        <v>9</v>
      </c>
      <c r="S12" s="25" t="str">
        <f>IF(OR(Tabulka171013624[[#This Row],[LP]]="N",Tabulka171013624[[#This Row],[PP]]="N"),"N",IF(OR(Tabulka171013624[[#This Row],[LP]]="D",Tabulka171013624[[#This Row],[PP]]="D"),"D",IF(OR(Tabulka171013624[[#This Row],[LP]]="NEÚČAST",Tabulka171013624[[#This Row],[PP]]="NEÚČAST"),"NEÚČAST",IF(OR(Tabulka171013624[[#This Row],[LP]]="",Tabulka171013624[[#This Row],[PP]]=""),"",MAX(Tabulka171013624[[#This Row],[LP]:[PP]])))))</f>
        <v>N</v>
      </c>
      <c r="T12" s="25">
        <f>COUNTIF(Tabulka171013624[[#This Row],[Tým]],"*")</f>
        <v>1</v>
      </c>
      <c r="U12" s="25">
        <f>COUNTIF(Tabulka171013624[[#This Row],[Výsledný čas]],"NEÚČAST")</f>
        <v>0</v>
      </c>
      <c r="V12" s="29">
        <f>IF(Tabulka171013624[[#This Row],[Výsledný čas]]="N",998,IF(Tabulka171013624[[#This Row],[Výsledný čas]]="D",998,IF(Tabulka171013624[[#This Row],[Výsledný čas]]="","",Tabulka171013624[[#This Row],[Výsledný čas]])))</f>
        <v>998</v>
      </c>
      <c r="Z12" s="31">
        <f>IF(OR(Tabulka38111420[Výsledný čas]="N",Tabulka38111420[Výsledný čas]="D",Tabulka38111420[Výsledný čas]="NEÚČAST"),Uvod!$E$4,_xlfn.RANK.EQ(Tabulka38111420[[#This Row],[ ]],Tabulka38111420[[ ]],1))</f>
        <v>9</v>
      </c>
      <c r="AA12" s="51" t="s">
        <v>23</v>
      </c>
      <c r="AB12" s="44">
        <f>VLOOKUP(Tabulka38111420[[#This Row],[Tým]],Tabulka17101319[[Tým]:[ ]],2,FALSE)</f>
        <v>21.213000000000001</v>
      </c>
      <c r="AC12" s="44">
        <f>VLOOKUP(Tabulka38111420[[#This Row],[Tým]],Tabulka17101319[[Tým]:[ ]],3,FALSE)</f>
        <v>22.045999999999999</v>
      </c>
      <c r="AD12" s="25">
        <f>VLOOKUP(Tabulka38111420[[#This Row],[Tým]],Tabulka17101319[[Tým]:[ ]],4,FALSE)</f>
        <v>22.045999999999999</v>
      </c>
      <c r="AE12" s="25">
        <f>VLOOKUP(Tabulka38111420[[#This Row],[Tým]],Tabulka17101319[[Tým]:[ ]],7,FALSE)</f>
        <v>22.045999999999999</v>
      </c>
      <c r="AF12" s="29">
        <f>IF(Tabulka38111420[[#This Row],[Výsledný čas]]="N",5,IF(Tabulka38111420[[#This Row],[Výsledný čas]]="D",0,IF(Tabulka38111420[[#This Row],[Výsledný čas]]="NEÚČAST",0,Tabulka4[[#Totals],[Týmy muži]]+6-Tabulka38111420[[#This Row],[Umístění]])))</f>
        <v>16</v>
      </c>
      <c r="AH12" s="15">
        <f>_xlfn.RANK.EQ(Tabulka59121521[[#This Row],[Body]],Tabulka59121521[Body],0)</f>
        <v>9</v>
      </c>
      <c r="AI12" s="53" t="s">
        <v>23</v>
      </c>
      <c r="AJ12" s="53">
        <f>Tabulka59121521[[#This Row],[Umístění]]</f>
        <v>9</v>
      </c>
      <c r="AK12" s="53">
        <f>VLOOKUP(Tabulka59121521[[#This Row],[Tým]],Tabulka3[],2,FALSE)</f>
        <v>0</v>
      </c>
      <c r="AL12" s="185">
        <f>VLOOKUP(Tabulka59121521[[#This Row],[Tým]],Tabulka38111420[[Tým]:[Body]],6,FALSE)+Tabulka59121521[[#This Row],[KOREKCE]]</f>
        <v>16</v>
      </c>
      <c r="AP12" s="1"/>
    </row>
    <row r="13" spans="2:42" ht="24.95" customHeight="1" x14ac:dyDescent="0.4">
      <c r="B13" s="52" t="s">
        <v>50</v>
      </c>
      <c r="C13" s="25">
        <f>IF(Tabulka17101319[[#This Row],[ ]]="","",IF(Tabulka17101319[[#This Row],[ ]]="NEÚČAST","",IF(OR(Tabulka17101319[Výsledný čas]="N",Tabulka17101319[Výsledný čas]="D"),$L$4-$L$5,_xlfn.RANK.EQ(Tabulka17101319[[#This Row],[ ]],Tabulka17101319[[ ]],1))))</f>
        <v>10</v>
      </c>
      <c r="D13" s="49" t="s">
        <v>10</v>
      </c>
      <c r="E13" s="51">
        <v>21.675999999999998</v>
      </c>
      <c r="F13" s="51">
        <v>16.641999999999999</v>
      </c>
      <c r="G13" s="25">
        <f>IF(OR(Tabulka17101319[[#This Row],[LP]]="N",Tabulka17101319[[#This Row],[PP]]="N"),"N",IF(OR(Tabulka17101319[[#This Row],[LP]]="D",Tabulka17101319[[#This Row],[PP]]="D"),"D",IF(OR(Tabulka17101319[[#This Row],[LP]]="NEÚČAST",Tabulka17101319[[#This Row],[PP]]="NEÚČAST"),"NEÚČAST",IF(OR(Tabulka17101319[[#This Row],[LP]]="",Tabulka17101319[[#This Row],[PP]]=""),"",MAX(Tabulka17101319[[#This Row],[LP]:[PP]])))))</f>
        <v>21.675999999999998</v>
      </c>
      <c r="H13" s="25">
        <f>COUNTIF(Tabulka17101319[[#This Row],[Tým]],"*")</f>
        <v>1</v>
      </c>
      <c r="I13" s="25">
        <f>COUNTIF(Tabulka17101319[[#This Row],[Výsledný čas]],"NEÚČAST")</f>
        <v>0</v>
      </c>
      <c r="J13" s="29">
        <f>IF(Tabulka17101319[[#This Row],[Výsledný čas]]="N",998,IF(Tabulka17101319[[#This Row],[Výsledný čas]]="D",998,IF(Tabulka17101319[[#This Row],[Výsledný čas]]="","",Tabulka17101319[[#This Row],[Výsledný čas]])))</f>
        <v>21.675999999999998</v>
      </c>
      <c r="N13" s="31" t="s">
        <v>100</v>
      </c>
      <c r="O13" s="25">
        <f>IF(Tabulka171013624[[#This Row],[ ]]="","",IF(Tabulka171013624[[#This Row],[ ]]="NEÚČAST","",IF(OR(Tabulka171013624[Výsledný čas]="N",Tabulka171013624[Výsledný čas]="D"),$X$4-$X$5,_xlfn.RANK.EQ(Tabulka171013624[[#This Row],[ ]],Tabulka171013624[[ ]],1))))</f>
        <v>11</v>
      </c>
      <c r="P13" s="49" t="s">
        <v>36</v>
      </c>
      <c r="Q13" s="49" t="s">
        <v>9</v>
      </c>
      <c r="R13" s="49" t="s">
        <v>9</v>
      </c>
      <c r="S13" s="25" t="str">
        <f>IF(OR(Tabulka171013624[[#This Row],[LP]]="N",Tabulka171013624[[#This Row],[PP]]="N"),"N",IF(OR(Tabulka171013624[[#This Row],[LP]]="D",Tabulka171013624[[#This Row],[PP]]="D"),"D",IF(OR(Tabulka171013624[[#This Row],[LP]]="NEÚČAST",Tabulka171013624[[#This Row],[PP]]="NEÚČAST"),"NEÚČAST",IF(OR(Tabulka171013624[[#This Row],[LP]]="",Tabulka171013624[[#This Row],[PP]]=""),"",MAX(Tabulka171013624[[#This Row],[LP]:[PP]])))))</f>
        <v>N</v>
      </c>
      <c r="T13" s="25">
        <f>COUNTIF(Tabulka171013624[[#This Row],[Tým]],"*")</f>
        <v>1</v>
      </c>
      <c r="U13" s="25">
        <f>COUNTIF(Tabulka171013624[[#This Row],[Výsledný čas]],"NEÚČAST")</f>
        <v>0</v>
      </c>
      <c r="V13" s="29">
        <f>IF(Tabulka171013624[[#This Row],[Výsledný čas]]="N",998,IF(Tabulka171013624[[#This Row],[Výsledný čas]]="D",998,IF(Tabulka171013624[[#This Row],[Výsledný čas]]="","",Tabulka171013624[[#This Row],[Výsledný čas]])))</f>
        <v>998</v>
      </c>
      <c r="Z13" s="31">
        <f>IF(OR(Tabulka38111420[Výsledný čas]="N",Tabulka38111420[Výsledný čas]="D",Tabulka38111420[Výsledný čas]="NEÚČAST"),Uvod!$E$4,_xlfn.RANK.EQ(Tabulka38111420[[#This Row],[ ]],Tabulka38111420[[ ]],1))</f>
        <v>10</v>
      </c>
      <c r="AA13" s="51" t="s">
        <v>6</v>
      </c>
      <c r="AB13" s="44">
        <f>VLOOKUP(Tabulka38111420[[#This Row],[Tým]],Tabulka17101319[[Tým]:[ ]],2,FALSE)</f>
        <v>22.77</v>
      </c>
      <c r="AC13" s="44">
        <f>VLOOKUP(Tabulka38111420[[#This Row],[Tým]],Tabulka17101319[[Tým]:[ ]],3,FALSE)</f>
        <v>23.486999999999998</v>
      </c>
      <c r="AD13" s="25">
        <f>VLOOKUP(Tabulka38111420[[#This Row],[Tým]],Tabulka17101319[[Tým]:[ ]],4,FALSE)</f>
        <v>23.486999999999998</v>
      </c>
      <c r="AE13" s="25">
        <f>VLOOKUP(Tabulka38111420[[#This Row],[Tým]],Tabulka17101319[[Tým]:[ ]],7,FALSE)</f>
        <v>23.486999999999998</v>
      </c>
      <c r="AF13" s="29">
        <f>IF(Tabulka38111420[[#This Row],[Výsledný čas]]="N",5,IF(Tabulka38111420[[#This Row],[Výsledný čas]]="D",0,IF(Tabulka38111420[[#This Row],[Výsledný čas]]="NEÚČAST",0,Tabulka4[[#Totals],[Týmy muži]]+6-Tabulka38111420[[#This Row],[Umístění]])))</f>
        <v>15</v>
      </c>
      <c r="AH13" s="15">
        <f>_xlfn.RANK.EQ(Tabulka59121521[[#This Row],[Body]],Tabulka59121521[Body],0)</f>
        <v>10</v>
      </c>
      <c r="AI13" s="53" t="s">
        <v>6</v>
      </c>
      <c r="AJ13" s="53">
        <f>Tabulka59121521[[#This Row],[Umístění]]</f>
        <v>10</v>
      </c>
      <c r="AK13" s="53">
        <f>VLOOKUP(Tabulka59121521[[#This Row],[Tým]],Tabulka3[],2,FALSE)</f>
        <v>0</v>
      </c>
      <c r="AL13" s="185">
        <f>VLOOKUP(Tabulka59121521[[#This Row],[Tým]],Tabulka38111420[[Tým]:[Body]],6,FALSE)+Tabulka59121521[[#This Row],[KOREKCE]]</f>
        <v>15</v>
      </c>
      <c r="AP13" s="1"/>
    </row>
    <row r="14" spans="2:42" ht="24.95" customHeight="1" thickBot="1" x14ac:dyDescent="0.45">
      <c r="B14" s="52" t="s">
        <v>51</v>
      </c>
      <c r="C14" s="25">
        <f>IF(Tabulka17101319[[#This Row],[ ]]="","",IF(Tabulka17101319[[#This Row],[ ]]="NEÚČAST","",IF(OR(Tabulka17101319[Výsledný čas]="N",Tabulka17101319[Výsledný čas]="D"),$L$4-$L$5,_xlfn.RANK.EQ(Tabulka17101319[[#This Row],[ ]],Tabulka17101319[[ ]],1))))</f>
        <v>11</v>
      </c>
      <c r="D14" s="49" t="s">
        <v>18</v>
      </c>
      <c r="E14" s="51">
        <v>18.533999999999999</v>
      </c>
      <c r="F14" s="51">
        <v>21.919</v>
      </c>
      <c r="G14" s="25">
        <f>IF(OR(Tabulka17101319[[#This Row],[LP]]="N",Tabulka17101319[[#This Row],[PP]]="N"),"N",IF(OR(Tabulka17101319[[#This Row],[LP]]="D",Tabulka17101319[[#This Row],[PP]]="D"),"D",IF(OR(Tabulka17101319[[#This Row],[LP]]="NEÚČAST",Tabulka17101319[[#This Row],[PP]]="NEÚČAST"),"NEÚČAST",IF(OR(Tabulka17101319[[#This Row],[LP]]="",Tabulka17101319[[#This Row],[PP]]=""),"",MAX(Tabulka17101319[[#This Row],[LP]:[PP]])))))</f>
        <v>21.919</v>
      </c>
      <c r="H14" s="25">
        <f>COUNTIF(Tabulka17101319[[#This Row],[Tým]],"*")</f>
        <v>1</v>
      </c>
      <c r="I14" s="25">
        <f>COUNTIF(Tabulka17101319[[#This Row],[Výsledný čas]],"NEÚČAST")</f>
        <v>0</v>
      </c>
      <c r="J14" s="29">
        <f>IF(Tabulka17101319[[#This Row],[Výsledný čas]]="N",998,IF(Tabulka17101319[[#This Row],[Výsledný čas]]="D",998,IF(Tabulka17101319[[#This Row],[Výsledný čas]]="","",Tabulka17101319[[#This Row],[Výsledný čas]])))</f>
        <v>21.919</v>
      </c>
      <c r="N14" s="71" t="s">
        <v>105</v>
      </c>
      <c r="O14" s="34">
        <f>IF(Tabulka171013624[[#This Row],[ ]]="","",IF(Tabulka171013624[[#This Row],[ ]]="NEÚČAST","",IF(OR(Tabulka171013624[Výsledný čas]="N",Tabulka171013624[Výsledný čas]="D"),$X$4-$X$5,_xlfn.RANK.EQ(Tabulka171013624[[#This Row],[ ]],Tabulka171013624[[ ]],1))))</f>
        <v>11</v>
      </c>
      <c r="P14" s="67" t="s">
        <v>37</v>
      </c>
      <c r="Q14" s="67" t="s">
        <v>9</v>
      </c>
      <c r="R14" s="67" t="s">
        <v>9</v>
      </c>
      <c r="S14" s="34" t="str">
        <f>IF(OR(Tabulka171013624[[#This Row],[LP]]="N",Tabulka171013624[[#This Row],[PP]]="N"),"N",IF(OR(Tabulka171013624[[#This Row],[LP]]="D",Tabulka171013624[[#This Row],[PP]]="D"),"D",IF(OR(Tabulka171013624[[#This Row],[LP]]="NEÚČAST",Tabulka171013624[[#This Row],[PP]]="NEÚČAST"),"NEÚČAST",IF(OR(Tabulka171013624[[#This Row],[LP]]="",Tabulka171013624[[#This Row],[PP]]=""),"",MAX(Tabulka171013624[[#This Row],[LP]:[PP]])))))</f>
        <v>N</v>
      </c>
      <c r="T14" s="34">
        <f>COUNTIF(Tabulka171013624[[#This Row],[Tým]],"*")</f>
        <v>1</v>
      </c>
      <c r="U14" s="34">
        <f>COUNTIF(Tabulka171013624[[#This Row],[Výsledný čas]],"NEÚČAST")</f>
        <v>0</v>
      </c>
      <c r="V14" s="36">
        <f>IF(Tabulka171013624[[#This Row],[Výsledný čas]]="N",998,IF(Tabulka171013624[[#This Row],[Výsledný čas]]="D",998,IF(Tabulka171013624[[#This Row],[Výsledný čas]]="","",Tabulka171013624[[#This Row],[Výsledný čas]])))</f>
        <v>998</v>
      </c>
      <c r="Z14" s="31">
        <f>IF(OR(Tabulka38111420[Výsledný čas]="N",Tabulka38111420[Výsledný čas]="D",Tabulka38111420[Výsledný čas]="NEÚČAST"),Uvod!$E$4,_xlfn.RANK.EQ(Tabulka38111420[[#This Row],[ ]],Tabulka38111420[[ ]],1))</f>
        <v>11</v>
      </c>
      <c r="AA14" s="51" t="s">
        <v>31</v>
      </c>
      <c r="AB14" s="44">
        <f>VLOOKUP(Tabulka38111420[[#This Row],[Tým]],Tabulka17101319[[Tým]:[ ]],2,FALSE)</f>
        <v>18.538</v>
      </c>
      <c r="AC14" s="44">
        <f>VLOOKUP(Tabulka38111420[[#This Row],[Tým]],Tabulka17101319[[Tým]:[ ]],3,FALSE)</f>
        <v>24.901</v>
      </c>
      <c r="AD14" s="25">
        <f>VLOOKUP(Tabulka38111420[[#This Row],[Tým]],Tabulka17101319[[Tým]:[ ]],4,FALSE)</f>
        <v>24.901</v>
      </c>
      <c r="AE14" s="25">
        <f>VLOOKUP(Tabulka38111420[[#This Row],[Tým]],Tabulka17101319[[Tým]:[ ]],7,FALSE)</f>
        <v>24.901</v>
      </c>
      <c r="AF14" s="29">
        <f>IF(Tabulka38111420[[#This Row],[Výsledný čas]]="N",5,IF(Tabulka38111420[[#This Row],[Výsledný čas]]="D",0,IF(Tabulka38111420[[#This Row],[Výsledný čas]]="NEÚČAST",0,Tabulka4[[#Totals],[Týmy muži]]+6-Tabulka38111420[[#This Row],[Umístění]])))</f>
        <v>14</v>
      </c>
      <c r="AH14" s="15">
        <f>_xlfn.RANK.EQ(Tabulka59121521[[#This Row],[Body]],Tabulka59121521[Body],0)</f>
        <v>11</v>
      </c>
      <c r="AI14" s="53" t="s">
        <v>31</v>
      </c>
      <c r="AJ14" s="53">
        <f>Tabulka59121521[[#This Row],[Umístění]]</f>
        <v>11</v>
      </c>
      <c r="AK14" s="53">
        <f>VLOOKUP(Tabulka59121521[[#This Row],[Tým]],Tabulka3[],2,FALSE)</f>
        <v>0</v>
      </c>
      <c r="AL14" s="185">
        <f>VLOOKUP(Tabulka59121521[[#This Row],[Tým]],Tabulka38111420[[Tým]:[Body]],6,FALSE)+Tabulka59121521[[#This Row],[KOREKCE]]</f>
        <v>14</v>
      </c>
      <c r="AP14" s="1"/>
    </row>
    <row r="15" spans="2:42" ht="24.95" customHeight="1" x14ac:dyDescent="0.4">
      <c r="B15" s="52" t="s">
        <v>52</v>
      </c>
      <c r="C15" s="25">
        <f>IF(Tabulka17101319[[#This Row],[ ]]="","",IF(Tabulka17101319[[#This Row],[ ]]="NEÚČAST","",IF(OR(Tabulka17101319[Výsledný čas]="N",Tabulka17101319[Výsledný čas]="D"),$L$4-$L$5,_xlfn.RANK.EQ(Tabulka17101319[[#This Row],[ ]],Tabulka17101319[[ ]],1))))</f>
        <v>12</v>
      </c>
      <c r="D15" s="49" t="s">
        <v>23</v>
      </c>
      <c r="E15" s="51">
        <v>21.213000000000001</v>
      </c>
      <c r="F15" s="51">
        <v>22.045999999999999</v>
      </c>
      <c r="G15" s="25">
        <f>IF(OR(Tabulka17101319[[#This Row],[LP]]="N",Tabulka17101319[[#This Row],[PP]]="N"),"N",IF(OR(Tabulka17101319[[#This Row],[LP]]="D",Tabulka17101319[[#This Row],[PP]]="D"),"D",IF(OR(Tabulka17101319[[#This Row],[LP]]="NEÚČAST",Tabulka17101319[[#This Row],[PP]]="NEÚČAST"),"NEÚČAST",IF(OR(Tabulka17101319[[#This Row],[LP]]="",Tabulka17101319[[#This Row],[PP]]=""),"",MAX(Tabulka17101319[[#This Row],[LP]:[PP]])))))</f>
        <v>22.045999999999999</v>
      </c>
      <c r="H15" s="25">
        <f>COUNTIF(Tabulka17101319[[#This Row],[Tým]],"*")</f>
        <v>1</v>
      </c>
      <c r="I15" s="25">
        <f>COUNTIF(Tabulka17101319[[#This Row],[Výsledný čas]],"NEÚČAST")</f>
        <v>0</v>
      </c>
      <c r="J15" s="29">
        <f>IF(Tabulka17101319[[#This Row],[Výsledný čas]]="N",998,IF(Tabulka17101319[[#This Row],[Výsledný čas]]="D",998,IF(Tabulka17101319[[#This Row],[Výsledný čas]]="","",Tabulka17101319[[#This Row],[Výsledný čas]])))</f>
        <v>22.045999999999999</v>
      </c>
      <c r="N15" s="68"/>
      <c r="P15" s="7"/>
      <c r="Q15" s="8"/>
      <c r="R15" s="8"/>
      <c r="Z15" s="31">
        <f>IF(OR(Tabulka38111420[Výsledný čas]="N",Tabulka38111420[Výsledný čas]="D",Tabulka38111420[Výsledný čas]="NEÚČAST"),Uvod!$E$4,_xlfn.RANK.EQ(Tabulka38111420[[#This Row],[ ]],Tabulka38111420[[ ]],1))</f>
        <v>12</v>
      </c>
      <c r="AA15" s="51" t="s">
        <v>16</v>
      </c>
      <c r="AB15" s="44">
        <f>VLOOKUP(Tabulka38111420[[#This Row],[Tým]],Tabulka17101319[[Tým]:[ ]],2,FALSE)</f>
        <v>24.984000000000002</v>
      </c>
      <c r="AC15" s="44">
        <f>VLOOKUP(Tabulka38111420[[#This Row],[Tým]],Tabulka17101319[[Tým]:[ ]],3,FALSE)</f>
        <v>23.748000000000001</v>
      </c>
      <c r="AD15" s="25">
        <f>VLOOKUP(Tabulka38111420[[#This Row],[Tým]],Tabulka17101319[[Tým]:[ ]],4,FALSE)</f>
        <v>24.984000000000002</v>
      </c>
      <c r="AE15" s="25">
        <f>VLOOKUP(Tabulka38111420[[#This Row],[Tým]],Tabulka17101319[[Tým]:[ ]],7,FALSE)</f>
        <v>24.984000000000002</v>
      </c>
      <c r="AF15" s="29">
        <f>IF(Tabulka38111420[[#This Row],[Výsledný čas]]="N",5,IF(Tabulka38111420[[#This Row],[Výsledný čas]]="D",0,IF(Tabulka38111420[[#This Row],[Výsledný čas]]="NEÚČAST",0,Tabulka4[[#Totals],[Týmy muži]]+6-Tabulka38111420[[#This Row],[Umístění]])))</f>
        <v>13</v>
      </c>
      <c r="AH15" s="15">
        <f>_xlfn.RANK.EQ(Tabulka59121521[[#This Row],[Body]],Tabulka59121521[Body],0)</f>
        <v>12</v>
      </c>
      <c r="AI15" s="53" t="s">
        <v>16</v>
      </c>
      <c r="AJ15" s="53">
        <f>Tabulka59121521[[#This Row],[Umístění]]</f>
        <v>12</v>
      </c>
      <c r="AK15" s="53">
        <f>VLOOKUP(Tabulka59121521[[#This Row],[Tým]],Tabulka3[],2,FALSE)</f>
        <v>0</v>
      </c>
      <c r="AL15" s="185">
        <f>VLOOKUP(Tabulka59121521[[#This Row],[Tým]],Tabulka38111420[[Tým]:[Body]],6,FALSE)+Tabulka59121521[[#This Row],[KOREKCE]]</f>
        <v>13</v>
      </c>
      <c r="AP15" s="1"/>
    </row>
    <row r="16" spans="2:42" ht="24.95" customHeight="1" x14ac:dyDescent="0.4">
      <c r="B16" s="52" t="s">
        <v>53</v>
      </c>
      <c r="C16" s="25">
        <f>IF(Tabulka17101319[[#This Row],[ ]]="","",IF(Tabulka17101319[[#This Row],[ ]]="NEÚČAST","",IF(OR(Tabulka17101319[Výsledný čas]="N",Tabulka17101319[Výsledný čas]="D"),$L$4-$L$5,_xlfn.RANK.EQ(Tabulka17101319[[#This Row],[ ]],Tabulka17101319[[ ]],1))))</f>
        <v>13</v>
      </c>
      <c r="D16" s="49" t="s">
        <v>6</v>
      </c>
      <c r="E16" s="51">
        <v>22.77</v>
      </c>
      <c r="F16" s="51">
        <v>23.486999999999998</v>
      </c>
      <c r="G16" s="25">
        <f>IF(OR(Tabulka17101319[[#This Row],[LP]]="N",Tabulka17101319[[#This Row],[PP]]="N"),"N",IF(OR(Tabulka17101319[[#This Row],[LP]]="D",Tabulka17101319[[#This Row],[PP]]="D"),"D",IF(OR(Tabulka17101319[[#This Row],[LP]]="NEÚČAST",Tabulka17101319[[#This Row],[PP]]="NEÚČAST"),"NEÚČAST",IF(OR(Tabulka17101319[[#This Row],[LP]]="",Tabulka17101319[[#This Row],[PP]]=""),"",MAX(Tabulka17101319[[#This Row],[LP]:[PP]])))))</f>
        <v>23.486999999999998</v>
      </c>
      <c r="H16" s="25">
        <f>COUNTIF(Tabulka17101319[[#This Row],[Tým]],"*")</f>
        <v>1</v>
      </c>
      <c r="I16" s="25">
        <f>COUNTIF(Tabulka17101319[[#This Row],[Výsledný čas]],"NEÚČAST")</f>
        <v>0</v>
      </c>
      <c r="J16" s="29">
        <f>IF(Tabulka17101319[[#This Row],[Výsledný čas]]="N",998,IF(Tabulka17101319[[#This Row],[Výsledný čas]]="D",998,IF(Tabulka17101319[[#This Row],[Výsledný čas]]="","",Tabulka17101319[[#This Row],[Výsledný čas]])))</f>
        <v>23.486999999999998</v>
      </c>
      <c r="N16" s="70"/>
      <c r="P16" s="7"/>
      <c r="Q16" s="8"/>
      <c r="R16" s="8"/>
      <c r="Z16" s="31">
        <f>IF(OR(Tabulka38111420[Výsledný čas]="N",Tabulka38111420[Výsledný čas]="D",Tabulka38111420[Výsledný čas]="NEÚČAST"),Uvod!$E$4,_xlfn.RANK.EQ(Tabulka38111420[[#This Row],[ ]],Tabulka38111420[[ ]],1))</f>
        <v>13</v>
      </c>
      <c r="AA16" s="51" t="s">
        <v>32</v>
      </c>
      <c r="AB16" s="44">
        <f>VLOOKUP(Tabulka38111420[[#This Row],[Tým]],Tabulka17101319[[Tým]:[ ]],2,FALSE)</f>
        <v>27.614999999999998</v>
      </c>
      <c r="AC16" s="44">
        <f>VLOOKUP(Tabulka38111420[[#This Row],[Tým]],Tabulka17101319[[Tým]:[ ]],3,FALSE)</f>
        <v>27.321000000000002</v>
      </c>
      <c r="AD16" s="25">
        <f>VLOOKUP(Tabulka38111420[[#This Row],[Tým]],Tabulka17101319[[Tým]:[ ]],4,FALSE)</f>
        <v>27.614999999999998</v>
      </c>
      <c r="AE16" s="25">
        <f>VLOOKUP(Tabulka38111420[[#This Row],[Tým]],Tabulka17101319[[Tým]:[ ]],7,FALSE)</f>
        <v>27.614999999999998</v>
      </c>
      <c r="AF16" s="29">
        <f>IF(Tabulka38111420[[#This Row],[Výsledný čas]]="N",5,IF(Tabulka38111420[[#This Row],[Výsledný čas]]="D",0,IF(Tabulka38111420[[#This Row],[Výsledný čas]]="NEÚČAST",0,Tabulka4[[#Totals],[Týmy muži]]+6-Tabulka38111420[[#This Row],[Umístění]])))</f>
        <v>12</v>
      </c>
      <c r="AH16" s="15">
        <f>_xlfn.RANK.EQ(Tabulka59121521[[#This Row],[Body]],Tabulka59121521[Body],0)</f>
        <v>13</v>
      </c>
      <c r="AI16" s="53" t="s">
        <v>32</v>
      </c>
      <c r="AJ16" s="53">
        <f>Tabulka59121521[[#This Row],[Umístění]]</f>
        <v>13</v>
      </c>
      <c r="AK16" s="53">
        <f>VLOOKUP(Tabulka59121521[[#This Row],[Tým]],Tabulka3[],2,FALSE)</f>
        <v>0</v>
      </c>
      <c r="AL16" s="185">
        <f>VLOOKUP(Tabulka59121521[[#This Row],[Tým]],Tabulka38111420[[Tým]:[Body]],6,FALSE)+Tabulka59121521[[#This Row],[KOREKCE]]</f>
        <v>12</v>
      </c>
      <c r="AP16" s="1"/>
    </row>
    <row r="17" spans="2:43" ht="24.95" customHeight="1" x14ac:dyDescent="0.4">
      <c r="B17" s="52" t="s">
        <v>54</v>
      </c>
      <c r="C17" s="25">
        <f>IF(Tabulka17101319[[#This Row],[ ]]="","",IF(Tabulka17101319[[#This Row],[ ]]="NEÚČAST","",IF(OR(Tabulka17101319[Výsledný čas]="N",Tabulka17101319[Výsledný čas]="D"),$L$4-$L$5,_xlfn.RANK.EQ(Tabulka17101319[[#This Row],[ ]],Tabulka17101319[[ ]],1))))</f>
        <v>14</v>
      </c>
      <c r="D17" s="49" t="s">
        <v>31</v>
      </c>
      <c r="E17" s="51">
        <v>18.538</v>
      </c>
      <c r="F17" s="51">
        <v>24.901</v>
      </c>
      <c r="G17" s="25">
        <f>IF(OR(Tabulka17101319[[#This Row],[LP]]="N",Tabulka17101319[[#This Row],[PP]]="N"),"N",IF(OR(Tabulka17101319[[#This Row],[LP]]="D",Tabulka17101319[[#This Row],[PP]]="D"),"D",IF(OR(Tabulka17101319[[#This Row],[LP]]="NEÚČAST",Tabulka17101319[[#This Row],[PP]]="NEÚČAST"),"NEÚČAST",IF(OR(Tabulka17101319[[#This Row],[LP]]="",Tabulka17101319[[#This Row],[PP]]=""),"",MAX(Tabulka17101319[[#This Row],[LP]:[PP]])))))</f>
        <v>24.901</v>
      </c>
      <c r="H17" s="25">
        <f>COUNTIF(Tabulka17101319[[#This Row],[Tým]],"*")</f>
        <v>1</v>
      </c>
      <c r="I17" s="25">
        <f>COUNTIF(Tabulka17101319[[#This Row],[Výsledný čas]],"NEÚČAST")</f>
        <v>0</v>
      </c>
      <c r="J17" s="29">
        <f>IF(Tabulka17101319[[#This Row],[Výsledný čas]]="N",998,IF(Tabulka17101319[[#This Row],[Výsledný čas]]="D",998,IF(Tabulka17101319[[#This Row],[Výsledný čas]]="","",Tabulka17101319[[#This Row],[Výsledný čas]])))</f>
        <v>24.901</v>
      </c>
      <c r="P17" s="7"/>
      <c r="Q17" s="8"/>
      <c r="R17" s="8"/>
      <c r="Z17" s="31">
        <f>IF(OR(Tabulka38111420[Výsledný čas]="N",Tabulka38111420[Výsledný čas]="D",Tabulka38111420[Výsledný čas]="NEÚČAST"),Uvod!$E$4,_xlfn.RANK.EQ(Tabulka38111420[[#This Row],[ ]],Tabulka38111420[[ ]],1))</f>
        <v>14</v>
      </c>
      <c r="AA17" s="51" t="s">
        <v>25</v>
      </c>
      <c r="AB17" s="44">
        <f>VLOOKUP(Tabulka38111420[[#This Row],[Tým]],Tabulka17101319[[Tým]:[ ]],2,FALSE)</f>
        <v>30.106000000000002</v>
      </c>
      <c r="AC17" s="44">
        <f>VLOOKUP(Tabulka38111420[[#This Row],[Tým]],Tabulka17101319[[Tým]:[ ]],3,FALSE)</f>
        <v>30.474</v>
      </c>
      <c r="AD17" s="25">
        <f>VLOOKUP(Tabulka38111420[[#This Row],[Tým]],Tabulka17101319[[Tým]:[ ]],4,FALSE)</f>
        <v>30.474</v>
      </c>
      <c r="AE17" s="25">
        <f>VLOOKUP(Tabulka38111420[[#This Row],[Tým]],Tabulka17101319[[Tým]:[ ]],7,FALSE)</f>
        <v>30.474</v>
      </c>
      <c r="AF17" s="29">
        <f>IF(Tabulka38111420[[#This Row],[Výsledný čas]]="N",5,IF(Tabulka38111420[[#This Row],[Výsledný čas]]="D",0,IF(Tabulka38111420[[#This Row],[Výsledný čas]]="NEÚČAST",0,Tabulka4[[#Totals],[Týmy muži]]+6-Tabulka38111420[[#This Row],[Umístění]])))</f>
        <v>11</v>
      </c>
      <c r="AH17" s="15">
        <f>_xlfn.RANK.EQ(Tabulka59121521[[#This Row],[Body]],Tabulka59121521[Body],0)</f>
        <v>14</v>
      </c>
      <c r="AI17" s="53" t="s">
        <v>25</v>
      </c>
      <c r="AJ17" s="53">
        <f>Tabulka59121521[[#This Row],[Umístění]]</f>
        <v>14</v>
      </c>
      <c r="AK17" s="53">
        <f>VLOOKUP(Tabulka59121521[[#This Row],[Tým]],Tabulka3[],2,FALSE)</f>
        <v>0</v>
      </c>
      <c r="AL17" s="185">
        <f>VLOOKUP(Tabulka59121521[[#This Row],[Tým]],Tabulka38111420[[Tým]:[Body]],6,FALSE)+Tabulka59121521[[#This Row],[KOREKCE]]</f>
        <v>11</v>
      </c>
      <c r="AP17" s="1"/>
    </row>
    <row r="18" spans="2:43" ht="24.95" customHeight="1" x14ac:dyDescent="0.4">
      <c r="B18" s="52" t="s">
        <v>55</v>
      </c>
      <c r="C18" s="25">
        <f>IF(Tabulka17101319[[#This Row],[ ]]="","",IF(Tabulka17101319[[#This Row],[ ]]="NEÚČAST","",IF(OR(Tabulka17101319[Výsledný čas]="N",Tabulka17101319[Výsledný čas]="D"),$L$4-$L$5,_xlfn.RANK.EQ(Tabulka17101319[[#This Row],[ ]],Tabulka17101319[[ ]],1))))</f>
        <v>15</v>
      </c>
      <c r="D18" s="49" t="s">
        <v>16</v>
      </c>
      <c r="E18" s="51">
        <v>24.984000000000002</v>
      </c>
      <c r="F18" s="51">
        <v>23.748000000000001</v>
      </c>
      <c r="G18" s="25">
        <f>IF(OR(Tabulka17101319[[#This Row],[LP]]="N",Tabulka17101319[[#This Row],[PP]]="N"),"N",IF(OR(Tabulka17101319[[#This Row],[LP]]="D",Tabulka17101319[[#This Row],[PP]]="D"),"D",IF(OR(Tabulka17101319[[#This Row],[LP]]="NEÚČAST",Tabulka17101319[[#This Row],[PP]]="NEÚČAST"),"NEÚČAST",IF(OR(Tabulka17101319[[#This Row],[LP]]="",Tabulka17101319[[#This Row],[PP]]=""),"",MAX(Tabulka17101319[[#This Row],[LP]:[PP]])))))</f>
        <v>24.984000000000002</v>
      </c>
      <c r="H18" s="25">
        <f>COUNTIF(Tabulka17101319[[#This Row],[Tým]],"*")</f>
        <v>1</v>
      </c>
      <c r="I18" s="25">
        <f>COUNTIF(Tabulka17101319[[#This Row],[Výsledný čas]],"NEÚČAST")</f>
        <v>0</v>
      </c>
      <c r="J18" s="29">
        <f>IF(Tabulka17101319[[#This Row],[Výsledný čas]]="N",998,IF(Tabulka17101319[[#This Row],[Výsledný čas]]="D",998,IF(Tabulka17101319[[#This Row],[Výsledný čas]]="","",Tabulka17101319[[#This Row],[Výsledný čas]])))</f>
        <v>24.984000000000002</v>
      </c>
      <c r="P18" s="7"/>
      <c r="Q18" s="8"/>
      <c r="R18" s="8"/>
      <c r="Z18" s="31">
        <f>IF(OR(Tabulka38111420[Výsledný čas]="N",Tabulka38111420[Výsledný čas]="D",Tabulka38111420[Výsledný čas]="NEÚČAST"),Uvod!$E$4,_xlfn.RANK.EQ(Tabulka38111420[[#This Row],[ ]],Tabulka38111420[[ ]],1))</f>
        <v>15</v>
      </c>
      <c r="AA18" s="51" t="s">
        <v>14</v>
      </c>
      <c r="AB18" s="44">
        <f>VLOOKUP(Tabulka38111420[[#This Row],[Tým]],Tabulka17101319[[Tým]:[ ]],2,FALSE)</f>
        <v>37.762</v>
      </c>
      <c r="AC18" s="44">
        <f>VLOOKUP(Tabulka38111420[[#This Row],[Tým]],Tabulka17101319[[Tým]:[ ]],3,FALSE)</f>
        <v>35.994999999999997</v>
      </c>
      <c r="AD18" s="25">
        <f>VLOOKUP(Tabulka38111420[[#This Row],[Tým]],Tabulka17101319[[Tým]:[ ]],4,FALSE)</f>
        <v>37.762</v>
      </c>
      <c r="AE18" s="25">
        <f>VLOOKUP(Tabulka38111420[[#This Row],[Tým]],Tabulka17101319[[Tým]:[ ]],7,FALSE)</f>
        <v>37.762</v>
      </c>
      <c r="AF18" s="29">
        <f>IF(Tabulka38111420[[#This Row],[Výsledný čas]]="N",5,IF(Tabulka38111420[[#This Row],[Výsledný čas]]="D",0,IF(Tabulka38111420[[#This Row],[Výsledný čas]]="NEÚČAST",0,Tabulka4[[#Totals],[Týmy muži]]+6-Tabulka38111420[[#This Row],[Umístění]])))</f>
        <v>10</v>
      </c>
      <c r="AH18" s="15">
        <f>_xlfn.RANK.EQ(Tabulka59121521[[#This Row],[Body]],Tabulka59121521[Body],0)</f>
        <v>15</v>
      </c>
      <c r="AI18" s="53" t="s">
        <v>14</v>
      </c>
      <c r="AJ18" s="53">
        <f>Tabulka59121521[[#This Row],[Umístění]]</f>
        <v>15</v>
      </c>
      <c r="AK18" s="53">
        <f>VLOOKUP(Tabulka59121521[[#This Row],[Tým]],Tabulka3[],2,FALSE)</f>
        <v>0</v>
      </c>
      <c r="AL18" s="185">
        <f>VLOOKUP(Tabulka59121521[[#This Row],[Tým]],Tabulka38111420[[Tým]:[Body]],6,FALSE)+Tabulka59121521[[#This Row],[KOREKCE]]</f>
        <v>10</v>
      </c>
      <c r="AP18" s="1"/>
    </row>
    <row r="19" spans="2:43" ht="24.95" customHeight="1" x14ac:dyDescent="0.4">
      <c r="B19" s="52" t="s">
        <v>56</v>
      </c>
      <c r="C19" s="25">
        <f>IF(Tabulka17101319[[#This Row],[ ]]="","",IF(Tabulka17101319[[#This Row],[ ]]="NEÚČAST","",IF(OR(Tabulka17101319[Výsledný čas]="N",Tabulka17101319[Výsledný čas]="D"),$L$4-$L$5,_xlfn.RANK.EQ(Tabulka17101319[[#This Row],[ ]],Tabulka17101319[[ ]],1))))</f>
        <v>16</v>
      </c>
      <c r="D19" s="49" t="s">
        <v>39</v>
      </c>
      <c r="E19" s="51">
        <v>26.282</v>
      </c>
      <c r="F19" s="51">
        <v>26.393000000000001</v>
      </c>
      <c r="G19" s="25">
        <f>IF(OR(Tabulka17101319[[#This Row],[LP]]="N",Tabulka17101319[[#This Row],[PP]]="N"),"N",IF(OR(Tabulka17101319[[#This Row],[LP]]="D",Tabulka17101319[[#This Row],[PP]]="D"),"D",IF(OR(Tabulka17101319[[#This Row],[LP]]="NEÚČAST",Tabulka17101319[[#This Row],[PP]]="NEÚČAST"),"NEÚČAST",IF(OR(Tabulka17101319[[#This Row],[LP]]="",Tabulka17101319[[#This Row],[PP]]=""),"",MAX(Tabulka17101319[[#This Row],[LP]:[PP]])))))</f>
        <v>26.393000000000001</v>
      </c>
      <c r="H19" s="25">
        <f>COUNTIF(Tabulka17101319[[#This Row],[Tým]],"*")</f>
        <v>1</v>
      </c>
      <c r="I19" s="25">
        <f>COUNTIF(Tabulka17101319[[#This Row],[Výsledný čas]],"NEÚČAST")</f>
        <v>0</v>
      </c>
      <c r="J19" s="29">
        <f>IF(Tabulka17101319[[#This Row],[Výsledný čas]]="N",998,IF(Tabulka17101319[[#This Row],[Výsledný čas]]="D",998,IF(Tabulka17101319[[#This Row],[Výsledný čas]]="","",Tabulka17101319[[#This Row],[Výsledný čas]])))</f>
        <v>26.393000000000001</v>
      </c>
      <c r="N19" s="68"/>
      <c r="P19" s="10"/>
      <c r="Q19" s="8"/>
      <c r="R19" s="8"/>
      <c r="Z19" s="31">
        <f>IF(OR(Tabulka38111420[Výsledný čas]="N",Tabulka38111420[Výsledný čas]="D",Tabulka38111420[Výsledný čas]="NEÚČAST"),Uvod!$E$4,_xlfn.RANK.EQ(Tabulka38111420[[#This Row],[ ]],Tabulka38111420[[ ]],1))</f>
        <v>19</v>
      </c>
      <c r="AA19" s="97" t="s">
        <v>33</v>
      </c>
      <c r="AB19" s="44" t="str">
        <f>VLOOKUP(Tabulka38111420[[#This Row],[Tým]],Tabulka17101319[[Tým]:[ ]],2,FALSE)</f>
        <v>N</v>
      </c>
      <c r="AC19" s="44" t="str">
        <f>VLOOKUP(Tabulka38111420[[#This Row],[Tým]],Tabulka17101319[[Tým]:[ ]],3,FALSE)</f>
        <v>N</v>
      </c>
      <c r="AD19" s="25" t="str">
        <f>VLOOKUP(Tabulka38111420[[#This Row],[Tým]],Tabulka17101319[[Tým]:[ ]],4,FALSE)</f>
        <v>N</v>
      </c>
      <c r="AE19" s="25">
        <f>VLOOKUP(Tabulka38111420[[#This Row],[Tým]],Tabulka17101319[[Tým]:[ ]],7,FALSE)</f>
        <v>998</v>
      </c>
      <c r="AF19" s="29">
        <f>IF(Tabulka38111420[[#This Row],[Výsledný čas]]="N",5,IF(Tabulka38111420[[#This Row],[Výsledný čas]]="D",0,IF(Tabulka38111420[[#This Row],[Výsledný čas]]="NEÚČAST",0,Tabulka4[[#Totals],[Týmy muži]]+6-Tabulka38111420[[#This Row],[Umístění]])))</f>
        <v>5</v>
      </c>
      <c r="AH19" s="15">
        <f>_xlfn.RANK.EQ(Tabulka59121521[[#This Row],[Body]],Tabulka59121521[Body],0)</f>
        <v>16</v>
      </c>
      <c r="AI19" s="53" t="s">
        <v>24</v>
      </c>
      <c r="AJ19" s="53">
        <f>Tabulka59121521[[#This Row],[Umístění]]</f>
        <v>16</v>
      </c>
      <c r="AK19" s="53">
        <f>VLOOKUP(Tabulka59121521[[#This Row],[Tým]],Tabulka3[],2,FALSE)</f>
        <v>0</v>
      </c>
      <c r="AL19" s="185">
        <f>VLOOKUP(Tabulka59121521[[#This Row],[Tým]],Tabulka38111420[[Tým]:[Body]],6,FALSE)+Tabulka59121521[[#This Row],[KOREKCE]]</f>
        <v>5</v>
      </c>
      <c r="AP19" s="1"/>
    </row>
    <row r="20" spans="2:43" ht="24.95" customHeight="1" x14ac:dyDescent="0.4">
      <c r="B20" s="52" t="s">
        <v>57</v>
      </c>
      <c r="C20" s="25">
        <f>IF(Tabulka17101319[[#This Row],[ ]]="","",IF(Tabulka17101319[[#This Row],[ ]]="NEÚČAST","",IF(OR(Tabulka17101319[Výsledný čas]="N",Tabulka17101319[Výsledný čas]="D"),$L$4-$L$5,_xlfn.RANK.EQ(Tabulka17101319[[#This Row],[ ]],Tabulka17101319[[ ]],1))))</f>
        <v>17</v>
      </c>
      <c r="D20" s="49" t="s">
        <v>32</v>
      </c>
      <c r="E20" s="51">
        <v>27.614999999999998</v>
      </c>
      <c r="F20" s="51">
        <v>27.321000000000002</v>
      </c>
      <c r="G20" s="25">
        <f>IF(OR(Tabulka17101319[[#This Row],[LP]]="N",Tabulka17101319[[#This Row],[PP]]="N"),"N",IF(OR(Tabulka17101319[[#This Row],[LP]]="D",Tabulka17101319[[#This Row],[PP]]="D"),"D",IF(OR(Tabulka17101319[[#This Row],[LP]]="NEÚČAST",Tabulka17101319[[#This Row],[PP]]="NEÚČAST"),"NEÚČAST",IF(OR(Tabulka17101319[[#This Row],[LP]]="",Tabulka17101319[[#This Row],[PP]]=""),"",MAX(Tabulka17101319[[#This Row],[LP]:[PP]])))))</f>
        <v>27.614999999999998</v>
      </c>
      <c r="H20" s="25">
        <f>COUNTIF(Tabulka17101319[[#This Row],[Tým]],"*")</f>
        <v>1</v>
      </c>
      <c r="I20" s="25">
        <f>COUNTIF(Tabulka17101319[[#This Row],[Výsledný čas]],"NEÚČAST")</f>
        <v>0</v>
      </c>
      <c r="J20" s="29">
        <f>IF(Tabulka17101319[[#This Row],[Výsledný čas]]="N",998,IF(Tabulka17101319[[#This Row],[Výsledný čas]]="D",998,IF(Tabulka17101319[[#This Row],[Výsledný čas]]="","",Tabulka17101319[[#This Row],[Výsledný čas]])))</f>
        <v>27.614999999999998</v>
      </c>
      <c r="N20" s="70"/>
      <c r="P20" s="10"/>
      <c r="Q20" s="8"/>
      <c r="R20" s="8"/>
      <c r="Z20" s="31">
        <f>IF(OR(Tabulka38111420[Výsledný čas]="N",Tabulka38111420[Výsledný čas]="D",Tabulka38111420[Výsledný čas]="NEÚČAST"),Uvod!$E$4,_xlfn.RANK.EQ(Tabulka38111420[[#This Row],[ ]],Tabulka38111420[[ ]],1))</f>
        <v>19</v>
      </c>
      <c r="AA20" s="97" t="s">
        <v>17</v>
      </c>
      <c r="AB20" s="44" t="str">
        <f>VLOOKUP(Tabulka38111420[[#This Row],[Tým]],Tabulka17101319[[Tým]:[ ]],2,FALSE)</f>
        <v>N</v>
      </c>
      <c r="AC20" s="44" t="str">
        <f>VLOOKUP(Tabulka38111420[[#This Row],[Tým]],Tabulka17101319[[Tým]:[ ]],3,FALSE)</f>
        <v>N</v>
      </c>
      <c r="AD20" s="25" t="str">
        <f>VLOOKUP(Tabulka38111420[[#This Row],[Tým]],Tabulka17101319[[Tým]:[ ]],4,FALSE)</f>
        <v>N</v>
      </c>
      <c r="AE20" s="25">
        <f>VLOOKUP(Tabulka38111420[[#This Row],[Tým]],Tabulka17101319[[Tým]:[ ]],7,FALSE)</f>
        <v>998</v>
      </c>
      <c r="AF20" s="29">
        <f>IF(Tabulka38111420[[#This Row],[Výsledný čas]]="N",5,IF(Tabulka38111420[[#This Row],[Výsledný čas]]="D",0,IF(Tabulka38111420[[#This Row],[Výsledný čas]]="NEÚČAST",0,Tabulka4[[#Totals],[Týmy muži]]+6-Tabulka38111420[[#This Row],[Umístění]])))</f>
        <v>5</v>
      </c>
      <c r="AH20" s="15">
        <f>_xlfn.RANK.EQ(Tabulka59121521[[#This Row],[Body]],Tabulka59121521[Body],0)</f>
        <v>16</v>
      </c>
      <c r="AI20" s="54" t="s">
        <v>17</v>
      </c>
      <c r="AJ20" s="54">
        <f>Tabulka59121521[[#This Row],[Umístění]]</f>
        <v>16</v>
      </c>
      <c r="AK20" s="54">
        <f>VLOOKUP(Tabulka59121521[[#This Row],[Tým]],Tabulka3[],2,FALSE)</f>
        <v>0</v>
      </c>
      <c r="AL20" s="185">
        <f>VLOOKUP(Tabulka59121521[[#This Row],[Tým]],Tabulka38111420[[Tým]:[Body]],6,FALSE)+Tabulka59121521[[#This Row],[KOREKCE]]</f>
        <v>5</v>
      </c>
      <c r="AP20" s="1"/>
    </row>
    <row r="21" spans="2:43" ht="24.95" customHeight="1" x14ac:dyDescent="0.4">
      <c r="B21" s="52" t="s">
        <v>58</v>
      </c>
      <c r="C21" s="25">
        <f>IF(Tabulka17101319[[#This Row],[ ]]="","",IF(Tabulka17101319[[#This Row],[ ]]="NEÚČAST","",IF(OR(Tabulka17101319[Výsledný čas]="N",Tabulka17101319[Výsledný čas]="D"),$L$4-$L$5,_xlfn.RANK.EQ(Tabulka17101319[[#This Row],[ ]],Tabulka17101319[[ ]],1))))</f>
        <v>18</v>
      </c>
      <c r="D21" s="49" t="s">
        <v>25</v>
      </c>
      <c r="E21" s="51">
        <v>30.106000000000002</v>
      </c>
      <c r="F21" s="51">
        <v>30.474</v>
      </c>
      <c r="G21" s="25">
        <f>IF(OR(Tabulka17101319[[#This Row],[LP]]="N",Tabulka17101319[[#This Row],[PP]]="N"),"N",IF(OR(Tabulka17101319[[#This Row],[LP]]="D",Tabulka17101319[[#This Row],[PP]]="D"),"D",IF(OR(Tabulka17101319[[#This Row],[LP]]="NEÚČAST",Tabulka17101319[[#This Row],[PP]]="NEÚČAST"),"NEÚČAST",IF(OR(Tabulka17101319[[#This Row],[LP]]="",Tabulka17101319[[#This Row],[PP]]=""),"",MAX(Tabulka17101319[[#This Row],[LP]:[PP]])))))</f>
        <v>30.474</v>
      </c>
      <c r="H21" s="25">
        <f>COUNTIF(Tabulka17101319[[#This Row],[Tým]],"*")</f>
        <v>1</v>
      </c>
      <c r="I21" s="25">
        <f>COUNTIF(Tabulka17101319[[#This Row],[Výsledný čas]],"NEÚČAST")</f>
        <v>0</v>
      </c>
      <c r="J21" s="29">
        <f>IF(Tabulka17101319[[#This Row],[Výsledný čas]]="N",998,IF(Tabulka17101319[[#This Row],[Výsledný čas]]="D",998,IF(Tabulka17101319[[#This Row],[Výsledný čas]]="","",Tabulka17101319[[#This Row],[Výsledný čas]])))</f>
        <v>30.474</v>
      </c>
      <c r="P21" s="10"/>
      <c r="Q21" s="8"/>
      <c r="R21" s="8"/>
      <c r="Z21" s="31">
        <f>IF(OR(Tabulka38111420[Výsledný čas]="N",Tabulka38111420[Výsledný čas]="D",Tabulka38111420[Výsledný čas]="NEÚČAST"),Uvod!$E$4,_xlfn.RANK.EQ(Tabulka38111420[[#This Row],[ ]],Tabulka38111420[[ ]],1))</f>
        <v>19</v>
      </c>
      <c r="AA21" s="51" t="s">
        <v>24</v>
      </c>
      <c r="AB21" s="44">
        <f>VLOOKUP(Tabulka38111420[[#This Row],[Tým]],Tabulka17101319[[Tým]:[ ]],2,FALSE)</f>
        <v>16.981000000000002</v>
      </c>
      <c r="AC21" s="44" t="str">
        <f>VLOOKUP(Tabulka38111420[[#This Row],[Tým]],Tabulka17101319[[Tým]:[ ]],3,FALSE)</f>
        <v>N</v>
      </c>
      <c r="AD21" s="25" t="str">
        <f>VLOOKUP(Tabulka38111420[[#This Row],[Tým]],Tabulka17101319[[Tým]:[ ]],4,FALSE)</f>
        <v>N</v>
      </c>
      <c r="AE21" s="25">
        <f>VLOOKUP(Tabulka38111420[[#This Row],[Tým]],Tabulka17101319[[Tým]:[ ]],7,FALSE)</f>
        <v>998</v>
      </c>
      <c r="AF21" s="29">
        <f>IF(Tabulka38111420[[#This Row],[Výsledný čas]]="N",5,IF(Tabulka38111420[[#This Row],[Výsledný čas]]="D",0,IF(Tabulka38111420[[#This Row],[Výsledný čas]]="NEÚČAST",0,Tabulka4[[#Totals],[Týmy muži]]+6-Tabulka38111420[[#This Row],[Umístění]])))</f>
        <v>5</v>
      </c>
      <c r="AH21" s="15">
        <f>_xlfn.RANK.EQ(Tabulka59121521[[#This Row],[Body]],Tabulka59121521[Body],0)</f>
        <v>16</v>
      </c>
      <c r="AI21" s="54" t="s">
        <v>13</v>
      </c>
      <c r="AJ21" s="54">
        <f>Tabulka59121521[[#This Row],[Umístění]]</f>
        <v>16</v>
      </c>
      <c r="AK21" s="54">
        <f>VLOOKUP(Tabulka59121521[[#This Row],[Tým]],Tabulka3[],2,FALSE)</f>
        <v>0</v>
      </c>
      <c r="AL21" s="185">
        <f>VLOOKUP(Tabulka59121521[[#This Row],[Tým]],Tabulka38111420[[Tým]:[Body]],6,FALSE)+Tabulka59121521[[#This Row],[KOREKCE]]</f>
        <v>5</v>
      </c>
      <c r="AP21" s="1"/>
      <c r="AQ21" s="1"/>
    </row>
    <row r="22" spans="2:43" ht="24.95" customHeight="1" thickBot="1" x14ac:dyDescent="0.45">
      <c r="B22" s="52">
        <v>12</v>
      </c>
      <c r="C22" s="25">
        <f>IF(Tabulka17101319[[#This Row],[ ]]="","",IF(Tabulka17101319[[#This Row],[ ]]="NEÚČAST","",IF(OR(Tabulka17101319[Výsledný čas]="N",Tabulka17101319[Výsledný čas]="D"),$L$4-$L$5,_xlfn.RANK.EQ(Tabulka17101319[[#This Row],[ ]],Tabulka17101319[[ ]],1))))</f>
        <v>19</v>
      </c>
      <c r="D22" s="49" t="s">
        <v>40</v>
      </c>
      <c r="E22" s="51">
        <v>35.668999999999997</v>
      </c>
      <c r="F22" s="51">
        <v>32.378</v>
      </c>
      <c r="G22" s="25">
        <f>IF(OR(Tabulka17101319[[#This Row],[LP]]="N",Tabulka17101319[[#This Row],[PP]]="N"),"N",IF(OR(Tabulka17101319[[#This Row],[LP]]="D",Tabulka17101319[[#This Row],[PP]]="D"),"D",IF(OR(Tabulka17101319[[#This Row],[LP]]="NEÚČAST",Tabulka17101319[[#This Row],[PP]]="NEÚČAST"),"NEÚČAST",IF(OR(Tabulka17101319[[#This Row],[LP]]="",Tabulka17101319[[#This Row],[PP]]=""),"",MAX(Tabulka17101319[[#This Row],[LP]:[PP]])))))</f>
        <v>35.668999999999997</v>
      </c>
      <c r="H22" s="25">
        <f>COUNTIF(Tabulka17101319[[#This Row],[Tým]],"*")</f>
        <v>1</v>
      </c>
      <c r="I22" s="25">
        <f>COUNTIF(Tabulka17101319[[#This Row],[Výsledný čas]],"NEÚČAST")</f>
        <v>0</v>
      </c>
      <c r="J22" s="29">
        <f>IF(Tabulka17101319[[#This Row],[Výsledný čas]]="N",998,IF(Tabulka17101319[[#This Row],[Výsledný čas]]="D",998,IF(Tabulka17101319[[#This Row],[Výsledný čas]]="","",Tabulka17101319[[#This Row],[Výsledný čas]])))</f>
        <v>35.668999999999997</v>
      </c>
      <c r="P22" s="10"/>
      <c r="Q22" s="8"/>
      <c r="R22" s="8"/>
      <c r="Z22" s="33">
        <f>IF(OR(Tabulka38111420[Výsledný čas]="N",Tabulka38111420[Výsledný čas]="D",Tabulka38111420[Výsledný čas]="NEÚČAST"),Uvod!$E$4,_xlfn.RANK.EQ(Tabulka38111420[[#This Row],[ ]],Tabulka38111420[[ ]],1))</f>
        <v>19</v>
      </c>
      <c r="AA22" s="98" t="s">
        <v>13</v>
      </c>
      <c r="AB22" s="45" t="str">
        <f>VLOOKUP(Tabulka38111420[[#This Row],[Tým]],Tabulka17101319[[Tým]:[ ]],2,FALSE)</f>
        <v>N</v>
      </c>
      <c r="AC22" s="45" t="str">
        <f>VLOOKUP(Tabulka38111420[[#This Row],[Tým]],Tabulka17101319[[Tým]:[ ]],3,FALSE)</f>
        <v>N</v>
      </c>
      <c r="AD22" s="34" t="str">
        <f>VLOOKUP(Tabulka38111420[[#This Row],[Tým]],Tabulka17101319[[Tým]:[ ]],4,FALSE)</f>
        <v>N</v>
      </c>
      <c r="AE22" s="34">
        <f>VLOOKUP(Tabulka38111420[[#This Row],[Tým]],Tabulka17101319[[Tým]:[ ]],7,FALSE)</f>
        <v>998</v>
      </c>
      <c r="AF22" s="36">
        <f>IF(Tabulka38111420[[#This Row],[Výsledný čas]]="N",5,IF(Tabulka38111420[[#This Row],[Výsledný čas]]="D",0,IF(Tabulka38111420[[#This Row],[Výsledný čas]]="NEÚČAST",0,Tabulka4[[#Totals],[Týmy muži]]+6-Tabulka38111420[[#This Row],[Umístění]])))</f>
        <v>5</v>
      </c>
      <c r="AH22" s="17">
        <f>_xlfn.RANK.EQ(Tabulka59121521[[#This Row],[Body]],Tabulka59121521[Body],0)</f>
        <v>16</v>
      </c>
      <c r="AI22" s="61" t="s">
        <v>33</v>
      </c>
      <c r="AJ22" s="61">
        <f>Tabulka59121521[[#This Row],[Umístění]]</f>
        <v>16</v>
      </c>
      <c r="AK22" s="61">
        <f>VLOOKUP(Tabulka59121521[[#This Row],[Tým]],Tabulka3[],2,FALSE)</f>
        <v>0</v>
      </c>
      <c r="AL22" s="186">
        <f>VLOOKUP(Tabulka59121521[[#This Row],[Tým]],Tabulka38111420[[Tým]:[Body]],6,FALSE)+Tabulka59121521[[#This Row],[KOREKCE]]</f>
        <v>5</v>
      </c>
      <c r="AP22" s="1"/>
      <c r="AQ22" s="1"/>
    </row>
    <row r="23" spans="2:43" ht="24.95" customHeight="1" x14ac:dyDescent="0.4">
      <c r="B23" s="52" t="s">
        <v>59</v>
      </c>
      <c r="C23" s="25">
        <f>IF(Tabulka17101319[[#This Row],[ ]]="","",IF(Tabulka17101319[[#This Row],[ ]]="NEÚČAST","",IF(OR(Tabulka17101319[Výsledný čas]="N",Tabulka17101319[Výsledný čas]="D"),$L$4-$L$5,_xlfn.RANK.EQ(Tabulka17101319[[#This Row],[ ]],Tabulka17101319[[ ]],1))))</f>
        <v>20</v>
      </c>
      <c r="D23" s="49" t="s">
        <v>14</v>
      </c>
      <c r="E23" s="51">
        <v>37.762</v>
      </c>
      <c r="F23" s="51">
        <v>35.994999999999997</v>
      </c>
      <c r="G23" s="25">
        <f>IF(OR(Tabulka17101319[[#This Row],[LP]]="N",Tabulka17101319[[#This Row],[PP]]="N"),"N",IF(OR(Tabulka17101319[[#This Row],[LP]]="D",Tabulka17101319[[#This Row],[PP]]="D"),"D",IF(OR(Tabulka17101319[[#This Row],[LP]]="NEÚČAST",Tabulka17101319[[#This Row],[PP]]="NEÚČAST"),"NEÚČAST",IF(OR(Tabulka17101319[[#This Row],[LP]]="",Tabulka17101319[[#This Row],[PP]]=""),"",MAX(Tabulka17101319[[#This Row],[LP]:[PP]])))))</f>
        <v>37.762</v>
      </c>
      <c r="H23" s="25">
        <f>COUNTIF(Tabulka17101319[[#This Row],[Tým]],"*")</f>
        <v>1</v>
      </c>
      <c r="I23" s="25">
        <f>COUNTIF(Tabulka17101319[[#This Row],[Výsledný čas]],"NEÚČAST")</f>
        <v>0</v>
      </c>
      <c r="J23" s="29">
        <f>IF(Tabulka17101319[[#This Row],[Výsledný čas]]="N",998,IF(Tabulka17101319[[#This Row],[Výsledný čas]]="D",998,IF(Tabulka17101319[[#This Row],[Výsledný čas]]="","",Tabulka17101319[[#This Row],[Výsledný čas]])))</f>
        <v>37.762</v>
      </c>
      <c r="P23" s="10"/>
      <c r="Q23" s="8"/>
      <c r="R23" s="8"/>
      <c r="AB23" s="3"/>
      <c r="AC23" s="3"/>
      <c r="AO23" s="2"/>
    </row>
    <row r="24" spans="2:43" ht="24.95" customHeight="1" thickBot="1" x14ac:dyDescent="0.45">
      <c r="B24" s="52" t="s">
        <v>60</v>
      </c>
      <c r="C24" s="25">
        <f>IF(Tabulka17101319[[#This Row],[ ]]="","",IF(Tabulka17101319[[#This Row],[ ]]="NEÚČAST","",IF(OR(Tabulka17101319[Výsledný čas]="N",Tabulka17101319[Výsledný čas]="D"),$L$4-$L$5,_xlfn.RANK.EQ(Tabulka17101319[[#This Row],[ ]],Tabulka17101319[[ ]],1))))</f>
        <v>24</v>
      </c>
      <c r="D24" s="49" t="s">
        <v>24</v>
      </c>
      <c r="E24" s="51">
        <v>16.981000000000002</v>
      </c>
      <c r="F24" s="51" t="s">
        <v>9</v>
      </c>
      <c r="G24" s="25" t="str">
        <f>IF(OR(Tabulka17101319[[#This Row],[LP]]="N",Tabulka17101319[[#This Row],[PP]]="N"),"N",IF(OR(Tabulka17101319[[#This Row],[LP]]="D",Tabulka17101319[[#This Row],[PP]]="D"),"D",IF(OR(Tabulka17101319[[#This Row],[LP]]="NEÚČAST",Tabulka17101319[[#This Row],[PP]]="NEÚČAST"),"NEÚČAST",IF(OR(Tabulka17101319[[#This Row],[LP]]="",Tabulka17101319[[#This Row],[PP]]=""),"",MAX(Tabulka17101319[[#This Row],[LP]:[PP]])))))</f>
        <v>N</v>
      </c>
      <c r="H24" s="25">
        <f>COUNTIF(Tabulka17101319[[#This Row],[Tým]],"*")</f>
        <v>1</v>
      </c>
      <c r="I24" s="25">
        <f>COUNTIF(Tabulka17101319[[#This Row],[Výsledný čas]],"NEÚČAST")</f>
        <v>0</v>
      </c>
      <c r="J24" s="29">
        <f>IF(Tabulka17101319[[#This Row],[Výsledný čas]]="N",998,IF(Tabulka17101319[[#This Row],[Výsledný čas]]="D",998,IF(Tabulka17101319[[#This Row],[Výsledný čas]]="","",Tabulka17101319[[#This Row],[Výsledný čas]])))</f>
        <v>998</v>
      </c>
      <c r="N24" s="68"/>
      <c r="P24" s="7"/>
      <c r="Q24" s="8"/>
      <c r="R24" s="8"/>
      <c r="AB24" s="3"/>
      <c r="AC24" s="3"/>
      <c r="AO24" s="2"/>
    </row>
    <row r="25" spans="2:43" ht="24.95" customHeight="1" x14ac:dyDescent="0.4">
      <c r="B25" s="52" t="s">
        <v>61</v>
      </c>
      <c r="C25" s="25">
        <f>IF(Tabulka17101319[[#This Row],[ ]]="","",IF(Tabulka17101319[[#This Row],[ ]]="NEÚČAST","",IF(OR(Tabulka17101319[Výsledný čas]="N",Tabulka17101319[Výsledný čas]="D"),$L$4-$L$5,_xlfn.RANK.EQ(Tabulka17101319[[#This Row],[ ]],Tabulka17101319[[ ]],1))))</f>
        <v>24</v>
      </c>
      <c r="D25" s="49" t="s">
        <v>17</v>
      </c>
      <c r="E25" s="51" t="s">
        <v>9</v>
      </c>
      <c r="F25" s="51" t="s">
        <v>9</v>
      </c>
      <c r="G25" s="25" t="str">
        <f>IF(OR(Tabulka17101319[[#This Row],[LP]]="N",Tabulka17101319[[#This Row],[PP]]="N"),"N",IF(OR(Tabulka17101319[[#This Row],[LP]]="D",Tabulka17101319[[#This Row],[PP]]="D"),"D",IF(OR(Tabulka17101319[[#This Row],[LP]]="NEÚČAST",Tabulka17101319[[#This Row],[PP]]="NEÚČAST"),"NEÚČAST",IF(OR(Tabulka17101319[[#This Row],[LP]]="",Tabulka17101319[[#This Row],[PP]]=""),"",MAX(Tabulka17101319[[#This Row],[LP]:[PP]])))))</f>
        <v>N</v>
      </c>
      <c r="H25" s="25">
        <f>COUNTIF(Tabulka17101319[[#This Row],[Tým]],"*")</f>
        <v>1</v>
      </c>
      <c r="I25" s="25">
        <f>COUNTIF(Tabulka17101319[[#This Row],[Výsledný čas]],"NEÚČAST")</f>
        <v>0</v>
      </c>
      <c r="J25" s="29">
        <f>IF(Tabulka17101319[[#This Row],[Výsledný čas]]="N",998,IF(Tabulka17101319[[#This Row],[Výsledný čas]]="D",998,IF(Tabulka17101319[[#This Row],[Výsledný čas]]="","",Tabulka17101319[[#This Row],[Výsledný čas]])))</f>
        <v>998</v>
      </c>
      <c r="N25" s="70"/>
      <c r="P25" s="7"/>
      <c r="Q25" s="8"/>
      <c r="R25" s="8"/>
      <c r="Z25" s="308" t="str">
        <f>N2</f>
        <v xml:space="preserve">Výsledky - Soutěže 1. kola NHHL 19.5. 2023 Píšť - ŽENY </v>
      </c>
      <c r="AA25" s="309"/>
      <c r="AB25" s="309"/>
      <c r="AC25" s="309"/>
      <c r="AD25" s="309"/>
      <c r="AE25" s="309"/>
      <c r="AF25" s="310"/>
      <c r="AH25" s="311" t="str">
        <f>"Pořadí po "&amp;Uvod!A3&amp;" kole NHHL - ŽENY"</f>
        <v>Pořadí po 1. kole NHHL - ŽENY</v>
      </c>
      <c r="AI25" s="312"/>
      <c r="AJ25" s="312"/>
      <c r="AK25" s="312"/>
      <c r="AL25" s="313"/>
      <c r="AO25" s="2"/>
    </row>
    <row r="26" spans="2:43" ht="24.95" customHeight="1" x14ac:dyDescent="0.4">
      <c r="B26" s="52" t="s">
        <v>62</v>
      </c>
      <c r="C26" s="25">
        <f>IF(Tabulka17101319[[#This Row],[ ]]="","",IF(Tabulka17101319[[#This Row],[ ]]="NEÚČAST","",IF(OR(Tabulka17101319[Výsledný čas]="N",Tabulka17101319[Výsledný čas]="D"),$L$4-$L$5,_xlfn.RANK.EQ(Tabulka17101319[[#This Row],[ ]],Tabulka17101319[[ ]],1))))</f>
        <v>24</v>
      </c>
      <c r="D26" s="49" t="s">
        <v>13</v>
      </c>
      <c r="E26" s="51" t="s">
        <v>9</v>
      </c>
      <c r="F26" s="51" t="s">
        <v>9</v>
      </c>
      <c r="G26" s="25" t="str">
        <f>IF(OR(Tabulka17101319[[#This Row],[LP]]="N",Tabulka17101319[[#This Row],[PP]]="N"),"N",IF(OR(Tabulka17101319[[#This Row],[LP]]="D",Tabulka17101319[[#This Row],[PP]]="D"),"D",IF(OR(Tabulka17101319[[#This Row],[LP]]="NEÚČAST",Tabulka17101319[[#This Row],[PP]]="NEÚČAST"),"NEÚČAST",IF(OR(Tabulka17101319[[#This Row],[LP]]="",Tabulka17101319[[#This Row],[PP]]=""),"",MAX(Tabulka17101319[[#This Row],[LP]:[PP]])))))</f>
        <v>N</v>
      </c>
      <c r="H26" s="25">
        <f>COUNTIF(Tabulka17101319[[#This Row],[Tým]],"*")</f>
        <v>1</v>
      </c>
      <c r="I26" s="25">
        <f>COUNTIF(Tabulka17101319[[#This Row],[Výsledný čas]],"NEÚČAST")</f>
        <v>0</v>
      </c>
      <c r="J26" s="29">
        <f>IF(Tabulka17101319[[#This Row],[Výsledný čas]]="N",998,IF(Tabulka17101319[[#This Row],[Výsledný čas]]="D",998,IF(Tabulka17101319[[#This Row],[Výsledný čas]]="","",Tabulka17101319[[#This Row],[Výsledný čas]])))</f>
        <v>998</v>
      </c>
      <c r="P26" s="7"/>
      <c r="Q26" s="8"/>
      <c r="R26" s="8"/>
      <c r="Z26" s="28" t="s">
        <v>1</v>
      </c>
      <c r="AA26" s="24" t="s">
        <v>2</v>
      </c>
      <c r="AB26" s="24" t="s">
        <v>3</v>
      </c>
      <c r="AC26" s="24" t="s">
        <v>4</v>
      </c>
      <c r="AD26" s="24" t="s">
        <v>5</v>
      </c>
      <c r="AE26" s="24" t="s">
        <v>27</v>
      </c>
      <c r="AF26" s="72" t="s">
        <v>7</v>
      </c>
      <c r="AH26" s="21" t="s">
        <v>1</v>
      </c>
      <c r="AI26" s="22" t="s">
        <v>2</v>
      </c>
      <c r="AJ26" s="22" t="s">
        <v>73</v>
      </c>
      <c r="AK26" s="22" t="s">
        <v>109</v>
      </c>
      <c r="AL26" s="23" t="s">
        <v>7</v>
      </c>
      <c r="AP26" s="1"/>
    </row>
    <row r="27" spans="2:43" ht="24.95" customHeight="1" thickBot="1" x14ac:dyDescent="0.45">
      <c r="B27" s="229" t="s">
        <v>63</v>
      </c>
      <c r="C27" s="34">
        <f>IF(Tabulka17101319[[#This Row],[ ]]="","",IF(Tabulka17101319[[#This Row],[ ]]="NEÚČAST","",IF(OR(Tabulka17101319[Výsledný čas]="N",Tabulka17101319[Výsledný čas]="D"),$L$4-$L$5,_xlfn.RANK.EQ(Tabulka17101319[[#This Row],[ ]],Tabulka17101319[[ ]],1))))</f>
        <v>24</v>
      </c>
      <c r="D27" s="67" t="s">
        <v>33</v>
      </c>
      <c r="E27" s="62" t="s">
        <v>9</v>
      </c>
      <c r="F27" s="62" t="s">
        <v>9</v>
      </c>
      <c r="G27" s="34" t="str">
        <f>IF(OR(Tabulka17101319[[#This Row],[LP]]="N",Tabulka17101319[[#This Row],[PP]]="N"),"N",IF(OR(Tabulka17101319[[#This Row],[LP]]="D",Tabulka17101319[[#This Row],[PP]]="D"),"D",IF(OR(Tabulka17101319[[#This Row],[LP]]="NEÚČAST",Tabulka17101319[[#This Row],[PP]]="NEÚČAST"),"NEÚČAST",IF(OR(Tabulka17101319[[#This Row],[LP]]="",Tabulka17101319[[#This Row],[PP]]=""),"",MAX(Tabulka17101319[[#This Row],[LP]:[PP]])))))</f>
        <v>N</v>
      </c>
      <c r="H27" s="34">
        <f>COUNTIF(Tabulka17101319[[#This Row],[Tým]],"*")</f>
        <v>1</v>
      </c>
      <c r="I27" s="34">
        <f>COUNTIF(Tabulka17101319[[#This Row],[Výsledný čas]],"NEÚČAST")</f>
        <v>0</v>
      </c>
      <c r="J27" s="36">
        <f>IF(Tabulka17101319[[#This Row],[Výsledný čas]]="N",998,IF(Tabulka17101319[[#This Row],[Výsledný čas]]="D",998,IF(Tabulka17101319[[#This Row],[Výsledný čas]]="","",Tabulka17101319[[#This Row],[Výsledný čas]])))</f>
        <v>998</v>
      </c>
      <c r="P27" s="7"/>
      <c r="Q27" s="8"/>
      <c r="R27" s="8"/>
      <c r="Z27" s="63">
        <f>IF(OR(Tabulka381114222[Výsledný čas]="N",Tabulka381114222[Výsledný čas]="D",Tabulka381114222[Výsledný čas]="NEÚČAST"),Uvod!$E$6,_xlfn.RANK.EQ(Tabulka381114222[[#This Row],[ ]],Tabulka381114222[[ ]],1))</f>
        <v>1</v>
      </c>
      <c r="AA27" s="51" t="s">
        <v>34</v>
      </c>
      <c r="AB27" s="44">
        <f>VLOOKUP(Tabulka381114222[[#This Row],[Tým]],Tabulka171013624[[Tým]:[ ]],2,FALSE)</f>
        <v>18.271000000000001</v>
      </c>
      <c r="AC27" s="44">
        <f>VLOOKUP(Tabulka381114222[[#This Row],[Tým]],Tabulka171013624[[Tým]:[ ]],3,FALSE)</f>
        <v>19.100000000000001</v>
      </c>
      <c r="AD27" s="25">
        <f>VLOOKUP(Tabulka381114222[[#This Row],[Tým]],Tabulka171013624[[Tým]:[ ]],4,FALSE)</f>
        <v>19.100000000000001</v>
      </c>
      <c r="AE27" s="25">
        <f>VLOOKUP(Tabulka381114222[[#This Row],[Tým]],Tabulka171013624[[Tým]:[ ]],7,FALSE)</f>
        <v>19.100000000000001</v>
      </c>
      <c r="AF27" s="29">
        <f>IF(Tabulka381114222[[#This Row],[Výsledný čas]]="N",5,IF(Tabulka381114222[[#This Row],[Výsledný čas]]="D",0,IF(Tabulka381114222[[#This Row],[Výsledný čas]]="NEÚČAST",0,Tabulka8[[#Totals],[Týmy ženy]]+6-Tabulka381114222[[#This Row],[Umístění]])))</f>
        <v>15</v>
      </c>
      <c r="AH27" s="15">
        <f>_xlfn.RANK.EQ(Tabulka591215323[[#This Row],[Body]],Tabulka591215323[Body],0)</f>
        <v>1</v>
      </c>
      <c r="AI27" s="51" t="s">
        <v>34</v>
      </c>
      <c r="AJ27" s="53">
        <f>Tabulka591215323[[#This Row],[Umístění]]</f>
        <v>1</v>
      </c>
      <c r="AK27" s="53">
        <f>VLOOKUP(Tabulka591215323[[#This Row],[Tým]],Tabulka6[],2,FALSE)</f>
        <v>0</v>
      </c>
      <c r="AL27" s="185">
        <f>VLOOKUP(Tabulka591215323[[#This Row],[Tým]],Tabulka381114222[[Tým]:[Body]],6,FALSE)+Tabulka591215323[[#This Row],[KOREKCE]]</f>
        <v>15</v>
      </c>
      <c r="AP27" s="1"/>
    </row>
    <row r="28" spans="2:43" ht="24.95" customHeight="1" x14ac:dyDescent="0.4">
      <c r="D28" s="16"/>
      <c r="P28" s="7"/>
      <c r="Q28" s="8"/>
      <c r="R28" s="8"/>
      <c r="Z28" s="63">
        <f>IF(OR(Tabulka381114222[Výsledný čas]="N",Tabulka381114222[Výsledný čas]="D",Tabulka381114222[Výsledný čas]="NEÚČAST"),Uvod!$E$6,_xlfn.RANK.EQ(Tabulka381114222[[#This Row],[ ]],Tabulka381114222[[ ]],1))</f>
        <v>2</v>
      </c>
      <c r="AA28" s="51" t="s">
        <v>35</v>
      </c>
      <c r="AB28" s="44">
        <f>VLOOKUP(Tabulka381114222[[#This Row],[Tým]],Tabulka171013624[[Tým]:[ ]],2,FALSE)</f>
        <v>20.715</v>
      </c>
      <c r="AC28" s="44">
        <f>VLOOKUP(Tabulka381114222[[#This Row],[Tým]],Tabulka171013624[[Tým]:[ ]],3,FALSE)</f>
        <v>20.356000000000002</v>
      </c>
      <c r="AD28" s="25">
        <f>VLOOKUP(Tabulka381114222[[#This Row],[Tým]],Tabulka171013624[[Tým]:[ ]],4,FALSE)</f>
        <v>20.715</v>
      </c>
      <c r="AE28" s="25">
        <f>VLOOKUP(Tabulka381114222[[#This Row],[Tým]],Tabulka171013624[[Tým]:[ ]],7,FALSE)</f>
        <v>20.715</v>
      </c>
      <c r="AF28" s="29">
        <f>IF(Tabulka381114222[[#This Row],[Výsledný čas]]="N",5,IF(Tabulka381114222[[#This Row],[Výsledný čas]]="D",0,IF(Tabulka381114222[[#This Row],[Výsledný čas]]="NEÚČAST",0,Tabulka8[[#Totals],[Týmy ženy]]+6-Tabulka381114222[[#This Row],[Umístění]])))</f>
        <v>14</v>
      </c>
      <c r="AH28" s="15">
        <f>_xlfn.RANK.EQ(Tabulka591215323[[#This Row],[Body]],Tabulka591215323[Body],0)</f>
        <v>2</v>
      </c>
      <c r="AI28" s="51" t="s">
        <v>35</v>
      </c>
      <c r="AJ28" s="53">
        <f>Tabulka591215323[[#This Row],[Umístění]]</f>
        <v>2</v>
      </c>
      <c r="AK28" s="53">
        <f>VLOOKUP(Tabulka591215323[[#This Row],[Tým]],Tabulka6[],2,FALSE)</f>
        <v>0</v>
      </c>
      <c r="AL28" s="185">
        <f>VLOOKUP(Tabulka591215323[[#This Row],[Tým]],Tabulka381114222[[Tým]:[Body]],6,FALSE)+Tabulka591215323[[#This Row],[KOREKCE]]</f>
        <v>14</v>
      </c>
      <c r="AP28" s="1"/>
    </row>
    <row r="29" spans="2:43" ht="24.95" customHeight="1" x14ac:dyDescent="0.4">
      <c r="D29" s="16"/>
      <c r="N29" s="68"/>
      <c r="P29" s="7"/>
      <c r="Q29" s="8"/>
      <c r="R29" s="8"/>
      <c r="Z29" s="63">
        <f>IF(OR(Tabulka381114222[Výsledný čas]="N",Tabulka381114222[Výsledný čas]="D",Tabulka381114222[Výsledný čas]="NEÚČAST"),Uvod!$E$6,_xlfn.RANK.EQ(Tabulka381114222[[#This Row],[ ]],Tabulka381114222[[ ]],1))</f>
        <v>3</v>
      </c>
      <c r="AA29" s="51" t="s">
        <v>22</v>
      </c>
      <c r="AB29" s="44">
        <f>VLOOKUP(Tabulka381114222[[#This Row],[Tým]],Tabulka171013624[[Tým]:[ ]],2,FALSE)</f>
        <v>20.030999999999999</v>
      </c>
      <c r="AC29" s="44">
        <f>VLOOKUP(Tabulka381114222[[#This Row],[Tým]],Tabulka171013624[[Tým]:[ ]],3,FALSE)</f>
        <v>23.085999999999999</v>
      </c>
      <c r="AD29" s="25">
        <f>VLOOKUP(Tabulka381114222[[#This Row],[Tým]],Tabulka171013624[[Tým]:[ ]],4,FALSE)</f>
        <v>23.085999999999999</v>
      </c>
      <c r="AE29" s="25">
        <f>VLOOKUP(Tabulka381114222[[#This Row],[Tým]],Tabulka171013624[[Tým]:[ ]],7,FALSE)</f>
        <v>23.085999999999999</v>
      </c>
      <c r="AF29" s="29">
        <f>IF(Tabulka381114222[[#This Row],[Výsledný čas]]="N",5,IF(Tabulka381114222[[#This Row],[Výsledný čas]]="D",0,IF(Tabulka381114222[[#This Row],[Výsledný čas]]="NEÚČAST",0,Tabulka8[[#Totals],[Týmy ženy]]+6-Tabulka381114222[[#This Row],[Umístění]])))</f>
        <v>13</v>
      </c>
      <c r="AH29" s="15">
        <f>_xlfn.RANK.EQ(Tabulka591215323[[#This Row],[Body]],Tabulka591215323[Body],0)</f>
        <v>3</v>
      </c>
      <c r="AI29" s="51" t="s">
        <v>22</v>
      </c>
      <c r="AJ29" s="53">
        <f>Tabulka591215323[[#This Row],[Umístění]]</f>
        <v>3</v>
      </c>
      <c r="AK29" s="53">
        <f>VLOOKUP(Tabulka591215323[[#This Row],[Tým]],Tabulka6[],2,FALSE)</f>
        <v>0</v>
      </c>
      <c r="AL29" s="185">
        <f>VLOOKUP(Tabulka591215323[[#This Row],[Tým]],Tabulka381114222[[Tým]:[Body]],6,FALSE)+Tabulka591215323[[#This Row],[KOREKCE]]</f>
        <v>13</v>
      </c>
      <c r="AM29" s="4"/>
      <c r="AP29" s="1"/>
      <c r="AQ29" s="1"/>
    </row>
    <row r="30" spans="2:43" ht="24.95" customHeight="1" x14ac:dyDescent="0.4">
      <c r="D30" s="16"/>
      <c r="N30" s="68"/>
      <c r="P30" s="7"/>
      <c r="Q30" s="8"/>
      <c r="R30" s="8"/>
      <c r="Z30" s="63">
        <f>IF(OR(Tabulka381114222[Výsledný čas]="N",Tabulka381114222[Výsledný čas]="D",Tabulka381114222[Výsledný čas]="NEÚČAST"),Uvod!$E$6,_xlfn.RANK.EQ(Tabulka381114222[[#This Row],[ ]],Tabulka381114222[[ ]],1))</f>
        <v>4</v>
      </c>
      <c r="AA30" s="51" t="s">
        <v>21</v>
      </c>
      <c r="AB30" s="44">
        <f>VLOOKUP(Tabulka381114222[[#This Row],[Tým]],Tabulka171013624[[Tým]:[ ]],2,FALSE)</f>
        <v>23.042000000000002</v>
      </c>
      <c r="AC30" s="44">
        <f>VLOOKUP(Tabulka381114222[[#This Row],[Tým]],Tabulka171013624[[Tým]:[ ]],3,FALSE)</f>
        <v>23.225999999999999</v>
      </c>
      <c r="AD30" s="25">
        <f>VLOOKUP(Tabulka381114222[[#This Row],[Tým]],Tabulka171013624[[Tým]:[ ]],4,FALSE)</f>
        <v>23.225999999999999</v>
      </c>
      <c r="AE30" s="25">
        <f>VLOOKUP(Tabulka381114222[[#This Row],[Tým]],Tabulka171013624[[Tým]:[ ]],7,FALSE)</f>
        <v>23.225999999999999</v>
      </c>
      <c r="AF30" s="29">
        <f>IF(Tabulka381114222[[#This Row],[Výsledný čas]]="N",5,IF(Tabulka381114222[[#This Row],[Výsledný čas]]="D",0,IF(Tabulka381114222[[#This Row],[Výsledný čas]]="NEÚČAST",0,Tabulka8[[#Totals],[Týmy ženy]]+6-Tabulka381114222[[#This Row],[Umístění]])))</f>
        <v>12</v>
      </c>
      <c r="AH30" s="15">
        <f>_xlfn.RANK.EQ(Tabulka591215323[[#This Row],[Body]],Tabulka591215323[Body],0)</f>
        <v>4</v>
      </c>
      <c r="AI30" s="51" t="s">
        <v>21</v>
      </c>
      <c r="AJ30" s="53">
        <f>Tabulka591215323[[#This Row],[Umístění]]</f>
        <v>4</v>
      </c>
      <c r="AK30" s="53">
        <f>VLOOKUP(Tabulka591215323[[#This Row],[Tým]],Tabulka6[],2,FALSE)</f>
        <v>0</v>
      </c>
      <c r="AL30" s="185">
        <f>VLOOKUP(Tabulka591215323[[#This Row],[Tým]],Tabulka381114222[[Tým]:[Body]],6,FALSE)+Tabulka591215323[[#This Row],[KOREKCE]]</f>
        <v>12</v>
      </c>
      <c r="AM30" s="4"/>
      <c r="AP30" s="1"/>
      <c r="AQ30" s="1"/>
    </row>
    <row r="31" spans="2:43" ht="24.95" customHeight="1" x14ac:dyDescent="0.4">
      <c r="D31" s="16"/>
      <c r="P31" s="7"/>
      <c r="Q31" s="8"/>
      <c r="R31" s="8"/>
      <c r="Z31" s="63">
        <f>IF(OR(Tabulka381114222[Výsledný čas]="N",Tabulka381114222[Výsledný čas]="D",Tabulka381114222[Výsledný čas]="NEÚČAST"),Uvod!$E$6,_xlfn.RANK.EQ(Tabulka381114222[[#This Row],[ ]],Tabulka381114222[[ ]],1))</f>
        <v>5</v>
      </c>
      <c r="AA31" s="51" t="s">
        <v>23</v>
      </c>
      <c r="AB31" s="44">
        <f>VLOOKUP(Tabulka381114222[[#This Row],[Tým]],Tabulka171013624[[Tým]:[ ]],2,FALSE)</f>
        <v>23.940999999999999</v>
      </c>
      <c r="AC31" s="44">
        <f>VLOOKUP(Tabulka381114222[[#This Row],[Tým]],Tabulka171013624[[Tým]:[ ]],3,FALSE)</f>
        <v>22.294</v>
      </c>
      <c r="AD31" s="25">
        <f>VLOOKUP(Tabulka381114222[[#This Row],[Tým]],Tabulka171013624[[Tým]:[ ]],4,FALSE)</f>
        <v>23.940999999999999</v>
      </c>
      <c r="AE31" s="25">
        <f>VLOOKUP(Tabulka381114222[[#This Row],[Tým]],Tabulka171013624[[Tým]:[ ]],7,FALSE)</f>
        <v>23.940999999999999</v>
      </c>
      <c r="AF31" s="29">
        <f>IF(Tabulka381114222[[#This Row],[Výsledný čas]]="N",5,IF(Tabulka381114222[[#This Row],[Výsledný čas]]="D",0,IF(Tabulka381114222[[#This Row],[Výsledný čas]]="NEÚČAST",0,Tabulka8[[#Totals],[Týmy ženy]]+6-Tabulka381114222[[#This Row],[Umístění]])))</f>
        <v>11</v>
      </c>
      <c r="AH31" s="15">
        <f>_xlfn.RANK.EQ(Tabulka591215323[[#This Row],[Body]],Tabulka591215323[Body],0)</f>
        <v>5</v>
      </c>
      <c r="AI31" s="51" t="s">
        <v>23</v>
      </c>
      <c r="AJ31" s="53">
        <f>Tabulka591215323[[#This Row],[Umístění]]</f>
        <v>5</v>
      </c>
      <c r="AK31" s="53">
        <f>VLOOKUP(Tabulka591215323[[#This Row],[Tým]],Tabulka6[],2,FALSE)</f>
        <v>0</v>
      </c>
      <c r="AL31" s="185">
        <f>VLOOKUP(Tabulka591215323[[#This Row],[Tým]],Tabulka381114222[[Tým]:[Body]],6,FALSE)+Tabulka591215323[[#This Row],[KOREKCE]]</f>
        <v>11</v>
      </c>
      <c r="AM31" s="4"/>
      <c r="AP31" s="1"/>
      <c r="AQ31" s="1"/>
    </row>
    <row r="32" spans="2:43" ht="24.95" customHeight="1" x14ac:dyDescent="0.4">
      <c r="D32" s="16"/>
      <c r="P32" s="7"/>
      <c r="Q32" s="8"/>
      <c r="R32" s="8"/>
      <c r="Z32" s="63">
        <f>IF(OR(Tabulka381114222[Výsledný čas]="N",Tabulka381114222[Výsledný čas]="D",Tabulka381114222[Výsledný čas]="NEÚČAST"),Uvod!$E$6,_xlfn.RANK.EQ(Tabulka381114222[[#This Row],[ ]],Tabulka381114222[[ ]],1))</f>
        <v>6</v>
      </c>
      <c r="AA32" s="51" t="s">
        <v>19</v>
      </c>
      <c r="AB32" s="44">
        <f>VLOOKUP(Tabulka381114222[[#This Row],[Tým]],Tabulka171013624[[Tým]:[ ]],2,FALSE)</f>
        <v>24.038</v>
      </c>
      <c r="AC32" s="44">
        <f>VLOOKUP(Tabulka381114222[[#This Row],[Tým]],Tabulka171013624[[Tým]:[ ]],3,FALSE)</f>
        <v>21.288</v>
      </c>
      <c r="AD32" s="25">
        <f>VLOOKUP(Tabulka381114222[[#This Row],[Tým]],Tabulka171013624[[Tým]:[ ]],4,FALSE)</f>
        <v>24.038</v>
      </c>
      <c r="AE32" s="25">
        <f>VLOOKUP(Tabulka381114222[[#This Row],[Tým]],Tabulka171013624[[Tým]:[ ]],7,FALSE)</f>
        <v>24.038</v>
      </c>
      <c r="AF32" s="29">
        <f>IF(Tabulka381114222[[#This Row],[Výsledný čas]]="N",5,IF(Tabulka381114222[[#This Row],[Výsledný čas]]="D",0,IF(Tabulka381114222[[#This Row],[Výsledný čas]]="NEÚČAST",0,Tabulka8[[#Totals],[Týmy ženy]]+6-Tabulka381114222[[#This Row],[Umístění]])))</f>
        <v>10</v>
      </c>
      <c r="AH32" s="15">
        <f>_xlfn.RANK.EQ(Tabulka591215323[[#This Row],[Body]],Tabulka591215323[Body],0)</f>
        <v>6</v>
      </c>
      <c r="AI32" s="51" t="s">
        <v>19</v>
      </c>
      <c r="AJ32" s="53">
        <f>Tabulka591215323[[#This Row],[Umístění]]</f>
        <v>6</v>
      </c>
      <c r="AK32" s="53">
        <f>VLOOKUP(Tabulka591215323[[#This Row],[Tým]],Tabulka6[],2,FALSE)</f>
        <v>0</v>
      </c>
      <c r="AL32" s="185">
        <f>VLOOKUP(Tabulka591215323[[#This Row],[Tým]],Tabulka381114222[[Tým]:[Body]],6,FALSE)+Tabulka591215323[[#This Row],[KOREKCE]]</f>
        <v>10</v>
      </c>
      <c r="AM32" s="4"/>
      <c r="AP32" s="1"/>
      <c r="AQ32" s="1"/>
    </row>
    <row r="33" spans="4:43" ht="24.95" customHeight="1" x14ac:dyDescent="0.4">
      <c r="D33" s="16"/>
      <c r="P33" s="7"/>
      <c r="Q33" s="8"/>
      <c r="R33" s="8"/>
      <c r="Z33" s="63">
        <f>IF(OR(Tabulka381114222[Výsledný čas]="N",Tabulka381114222[Výsledný čas]="D",Tabulka381114222[Výsledný čas]="NEÚČAST"),Uvod!$E$6,_xlfn.RANK.EQ(Tabulka381114222[[#This Row],[ ]],Tabulka381114222[[ ]],1))</f>
        <v>7</v>
      </c>
      <c r="AA33" s="51" t="s">
        <v>15</v>
      </c>
      <c r="AB33" s="44">
        <f>VLOOKUP(Tabulka381114222[[#This Row],[Tým]],Tabulka171013624[[Tým]:[ ]],2,FALSE)</f>
        <v>38.037999999999997</v>
      </c>
      <c r="AC33" s="44">
        <f>VLOOKUP(Tabulka381114222[[#This Row],[Tým]],Tabulka171013624[[Tým]:[ ]],3,FALSE)</f>
        <v>22.898</v>
      </c>
      <c r="AD33" s="25">
        <f>VLOOKUP(Tabulka381114222[[#This Row],[Tým]],Tabulka171013624[[Tým]:[ ]],4,FALSE)</f>
        <v>38.037999999999997</v>
      </c>
      <c r="AE33" s="25">
        <f>VLOOKUP(Tabulka381114222[[#This Row],[Tým]],Tabulka171013624[[Tým]:[ ]],7,FALSE)</f>
        <v>38.037999999999997</v>
      </c>
      <c r="AF33" s="29">
        <f>IF(Tabulka381114222[[#This Row],[Výsledný čas]]="N",5,IF(Tabulka381114222[[#This Row],[Výsledný čas]]="D",0,IF(Tabulka381114222[[#This Row],[Výsledný čas]]="NEÚČAST",0,Tabulka8[[#Totals],[Týmy ženy]]+6-Tabulka381114222[[#This Row],[Umístění]])))</f>
        <v>9</v>
      </c>
      <c r="AH33" s="15">
        <f>_xlfn.RANK.EQ(Tabulka591215323[[#This Row],[Body]],Tabulka591215323[Body],0)</f>
        <v>7</v>
      </c>
      <c r="AI33" s="51" t="s">
        <v>15</v>
      </c>
      <c r="AJ33" s="53">
        <f>Tabulka591215323[[#This Row],[Umístění]]</f>
        <v>7</v>
      </c>
      <c r="AK33" s="53">
        <f>VLOOKUP(Tabulka591215323[[#This Row],[Tým]],Tabulka6[],2,FALSE)</f>
        <v>0</v>
      </c>
      <c r="AL33" s="185">
        <f>VLOOKUP(Tabulka591215323[[#This Row],[Tým]],Tabulka381114222[[Tým]:[Body]],6,FALSE)+Tabulka591215323[[#This Row],[KOREKCE]]</f>
        <v>9</v>
      </c>
      <c r="AM33" s="4"/>
      <c r="AP33" s="1"/>
      <c r="AQ33" s="1"/>
    </row>
    <row r="34" spans="4:43" ht="24.95" customHeight="1" x14ac:dyDescent="0.4">
      <c r="D34" s="16"/>
      <c r="N34" s="70"/>
      <c r="P34" s="7"/>
      <c r="Q34" s="8"/>
      <c r="R34" s="8"/>
      <c r="Z34" s="63">
        <f>IF(OR(Tabulka381114222[Výsledný čas]="N",Tabulka381114222[Výsledný čas]="D",Tabulka381114222[Výsledný čas]="NEÚČAST"),Uvod!$E$6,_xlfn.RANK.EQ(Tabulka381114222[[#This Row],[ ]],Tabulka381114222[[ ]],1))</f>
        <v>10</v>
      </c>
      <c r="AA34" s="51" t="s">
        <v>16</v>
      </c>
      <c r="AB34" s="44">
        <f>VLOOKUP(Tabulka381114222[[#This Row],[Tým]],Tabulka171013624[[Tým]:[ ]],2,FALSE)</f>
        <v>25.088999999999999</v>
      </c>
      <c r="AC34" s="44" t="str">
        <f>VLOOKUP(Tabulka381114222[[#This Row],[Tým]],Tabulka171013624[[Tým]:[ ]],3,FALSE)</f>
        <v>N</v>
      </c>
      <c r="AD34" s="25" t="str">
        <f>VLOOKUP(Tabulka381114222[[#This Row],[Tým]],Tabulka171013624[[Tým]:[ ]],4,FALSE)</f>
        <v>N</v>
      </c>
      <c r="AE34" s="25">
        <f>VLOOKUP(Tabulka381114222[[#This Row],[Tým]],Tabulka171013624[[Tým]:[ ]],7,FALSE)</f>
        <v>998</v>
      </c>
      <c r="AF34" s="29">
        <f>IF(Tabulka381114222[[#This Row],[Výsledný čas]]="N",5,IF(Tabulka381114222[[#This Row],[Výsledný čas]]="D",0,IF(Tabulka381114222[[#This Row],[Výsledný čas]]="NEÚČAST",0,Tabulka8[[#Totals],[Týmy ženy]]+6-Tabulka381114222[[#This Row],[Umístění]])))</f>
        <v>5</v>
      </c>
      <c r="AH34" s="15">
        <f>_xlfn.RANK.EQ(Tabulka591215323[[#This Row],[Body]],Tabulka591215323[Body],0)</f>
        <v>8</v>
      </c>
      <c r="AI34" s="51" t="s">
        <v>16</v>
      </c>
      <c r="AJ34" s="53">
        <f>Tabulka591215323[[#This Row],[Umístění]]</f>
        <v>8</v>
      </c>
      <c r="AK34" s="53">
        <f>VLOOKUP(Tabulka591215323[[#This Row],[Tým]],Tabulka6[],2,FALSE)</f>
        <v>0</v>
      </c>
      <c r="AL34" s="185">
        <f>VLOOKUP(Tabulka591215323[[#This Row],[Tým]],Tabulka381114222[[Tým]:[Body]],6,FALSE)+Tabulka591215323[[#This Row],[KOREKCE]]</f>
        <v>5</v>
      </c>
      <c r="AM34" s="4"/>
      <c r="AP34" s="1"/>
      <c r="AQ34" s="1"/>
    </row>
    <row r="35" spans="4:43" ht="24.95" customHeight="1" x14ac:dyDescent="0.4">
      <c r="D35" s="16"/>
      <c r="N35" s="70"/>
      <c r="P35" s="7"/>
      <c r="Q35" s="8"/>
      <c r="R35" s="8"/>
      <c r="Z35" s="63">
        <f>IF(OR(Tabulka381114222[Výsledný čas]="N",Tabulka381114222[Výsledný čas]="D",Tabulka381114222[Výsledný čas]="NEÚČAST"),Uvod!$E$6,_xlfn.RANK.EQ(Tabulka381114222[[#This Row],[ ]],Tabulka381114222[[ ]],1))</f>
        <v>10</v>
      </c>
      <c r="AA35" s="51" t="s">
        <v>24</v>
      </c>
      <c r="AB35" s="44">
        <f>VLOOKUP(Tabulka381114222[[#This Row],[Tým]],Tabulka171013624[[Tým]:[ ]],2,FALSE)</f>
        <v>38.380000000000003</v>
      </c>
      <c r="AC35" s="44" t="str">
        <f>VLOOKUP(Tabulka381114222[[#This Row],[Tým]],Tabulka171013624[[Tým]:[ ]],3,FALSE)</f>
        <v>N</v>
      </c>
      <c r="AD35" s="25" t="str">
        <f>VLOOKUP(Tabulka381114222[[#This Row],[Tým]],Tabulka171013624[[Tým]:[ ]],4,FALSE)</f>
        <v>N</v>
      </c>
      <c r="AE35" s="25">
        <f>VLOOKUP(Tabulka381114222[[#This Row],[Tým]],Tabulka171013624[[Tým]:[ ]],7,FALSE)</f>
        <v>998</v>
      </c>
      <c r="AF35" s="29">
        <f>IF(Tabulka381114222[[#This Row],[Výsledný čas]]="N",5,IF(Tabulka381114222[[#This Row],[Výsledný čas]]="D",0,IF(Tabulka381114222[[#This Row],[Výsledný čas]]="NEÚČAST",0,Tabulka8[[#Totals],[Týmy ženy]]+6-Tabulka381114222[[#This Row],[Umístění]])))</f>
        <v>5</v>
      </c>
      <c r="AH35" s="15">
        <f>_xlfn.RANK.EQ(Tabulka591215323[[#This Row],[Body]],Tabulka591215323[Body],0)</f>
        <v>8</v>
      </c>
      <c r="AI35" s="51" t="s">
        <v>24</v>
      </c>
      <c r="AJ35" s="53">
        <f>Tabulka591215323[[#This Row],[Umístění]]</f>
        <v>8</v>
      </c>
      <c r="AK35" s="53">
        <f>VLOOKUP(Tabulka591215323[[#This Row],[Tým]],Tabulka6[],2,FALSE)</f>
        <v>0</v>
      </c>
      <c r="AL35" s="185">
        <f>VLOOKUP(Tabulka591215323[[#This Row],[Tým]],Tabulka381114222[[Tým]:[Body]],6,FALSE)+Tabulka591215323[[#This Row],[KOREKCE]]</f>
        <v>5</v>
      </c>
      <c r="AM35" s="4"/>
      <c r="AP35" s="1"/>
      <c r="AQ35" s="1"/>
    </row>
    <row r="36" spans="4:43" ht="24.95" customHeight="1" thickBot="1" x14ac:dyDescent="0.45">
      <c r="D36" s="16"/>
      <c r="P36" s="7"/>
      <c r="Q36" s="8"/>
      <c r="R36" s="8"/>
      <c r="Z36" s="64">
        <f>IF(OR(Tabulka381114222[Výsledný čas]="N",Tabulka381114222[Výsledný čas]="D",Tabulka381114222[Výsledný čas]="NEÚČAST"),Uvod!$E$6,_xlfn.RANK.EQ(Tabulka381114222[[#This Row],[ ]],Tabulka381114222[[ ]],1))</f>
        <v>10</v>
      </c>
      <c r="AA36" s="62" t="s">
        <v>36</v>
      </c>
      <c r="AB36" s="45" t="str">
        <f>VLOOKUP(Tabulka381114222[[#This Row],[Tým]],Tabulka171013624[[Tým]:[ ]],2,FALSE)</f>
        <v>N</v>
      </c>
      <c r="AC36" s="45" t="str">
        <f>VLOOKUP(Tabulka381114222[[#This Row],[Tým]],Tabulka171013624[[Tým]:[ ]],3,FALSE)</f>
        <v>N</v>
      </c>
      <c r="AD36" s="34" t="str">
        <f>VLOOKUP(Tabulka381114222[[#This Row],[Tým]],Tabulka171013624[[Tým]:[ ]],4,FALSE)</f>
        <v>N</v>
      </c>
      <c r="AE36" s="34">
        <f>VLOOKUP(Tabulka381114222[[#This Row],[Tým]],Tabulka171013624[[Tým]:[ ]],7,FALSE)</f>
        <v>998</v>
      </c>
      <c r="AF36" s="36">
        <f>IF(Tabulka381114222[[#This Row],[Výsledný čas]]="N",5,IF(Tabulka381114222[[#This Row],[Výsledný čas]]="D",0,IF(Tabulka381114222[[#This Row],[Výsledný čas]]="NEÚČAST",0,Tabulka8[[#Totals],[Týmy ženy]]+6-Tabulka381114222[[#This Row],[Umístění]])))</f>
        <v>5</v>
      </c>
      <c r="AH36" s="17">
        <f>_xlfn.RANK.EQ(Tabulka591215323[[#This Row],[Body]],Tabulka591215323[Body],0)</f>
        <v>8</v>
      </c>
      <c r="AI36" s="62" t="s">
        <v>36</v>
      </c>
      <c r="AJ36" s="87">
        <f>Tabulka591215323[[#This Row],[Umístění]]</f>
        <v>8</v>
      </c>
      <c r="AK36" s="87">
        <f>VLOOKUP(Tabulka591215323[[#This Row],[Tým]],Tabulka6[],2,FALSE)</f>
        <v>0</v>
      </c>
      <c r="AL36" s="186">
        <f>VLOOKUP(Tabulka591215323[[#This Row],[Tým]],Tabulka381114222[[Tým]:[Body]],6,FALSE)+Tabulka591215323[[#This Row],[KOREKCE]]</f>
        <v>5</v>
      </c>
      <c r="AM36" s="4"/>
      <c r="AP36" s="1"/>
      <c r="AQ36" s="1"/>
    </row>
    <row r="37" spans="4:43" ht="24.95" customHeight="1" x14ac:dyDescent="0.4">
      <c r="D37" s="16"/>
      <c r="P37" s="7"/>
      <c r="Q37" s="8"/>
      <c r="R37" s="8"/>
      <c r="AB37" s="3"/>
      <c r="AC37" s="3"/>
      <c r="AK37" s="4"/>
    </row>
    <row r="38" spans="4:43" ht="24.95" customHeight="1" x14ac:dyDescent="0.4">
      <c r="D38" s="16"/>
      <c r="P38" s="7"/>
      <c r="Q38" s="8"/>
      <c r="R38" s="8"/>
      <c r="AB38" s="3"/>
      <c r="AC38" s="3"/>
      <c r="AK38" s="4"/>
    </row>
    <row r="39" spans="4:43" ht="24.95" customHeight="1" x14ac:dyDescent="0.4">
      <c r="D39" s="16"/>
      <c r="N39" s="68"/>
      <c r="P39" s="7"/>
      <c r="Q39" s="8"/>
      <c r="R39" s="8"/>
      <c r="AB39" s="3"/>
      <c r="AC39" s="3"/>
      <c r="AK39" s="4"/>
    </row>
    <row r="40" spans="4:43" ht="24.95" customHeight="1" x14ac:dyDescent="0.4">
      <c r="D40" s="16"/>
      <c r="N40" s="68"/>
      <c r="P40" s="7"/>
      <c r="Q40" s="8"/>
      <c r="R40" s="8"/>
      <c r="AB40" s="3"/>
      <c r="AC40" s="3"/>
      <c r="AK40" s="4"/>
    </row>
    <row r="41" spans="4:43" ht="24.95" customHeight="1" x14ac:dyDescent="0.4">
      <c r="D41" s="16"/>
      <c r="P41" s="7"/>
      <c r="Q41" s="8"/>
      <c r="R41" s="8"/>
      <c r="AB41" s="3"/>
      <c r="AC41" s="3"/>
      <c r="AK41" s="4"/>
    </row>
    <row r="42" spans="4:43" ht="24.95" customHeight="1" x14ac:dyDescent="0.4">
      <c r="D42" s="16"/>
      <c r="P42" s="7"/>
      <c r="Q42" s="8"/>
      <c r="R42" s="8"/>
      <c r="AB42" s="3"/>
      <c r="AC42" s="3"/>
    </row>
    <row r="43" spans="4:43" ht="24.95" customHeight="1" x14ac:dyDescent="0.4">
      <c r="D43" s="16"/>
      <c r="P43" s="7"/>
      <c r="Q43" s="8"/>
      <c r="R43" s="8"/>
      <c r="AB43" s="3"/>
      <c r="AC43" s="3"/>
    </row>
    <row r="44" spans="4:43" ht="24.95" customHeight="1" x14ac:dyDescent="0.4">
      <c r="D44" s="16"/>
      <c r="N44" s="68"/>
      <c r="P44" s="7"/>
      <c r="Q44" s="8"/>
      <c r="R44" s="8"/>
    </row>
    <row r="45" spans="4:43" ht="24.95" customHeight="1" x14ac:dyDescent="0.4">
      <c r="D45" s="16"/>
      <c r="N45" s="68"/>
      <c r="P45" s="7"/>
      <c r="Q45" s="8"/>
      <c r="R45" s="8"/>
    </row>
    <row r="46" spans="4:43" ht="24.95" customHeight="1" x14ac:dyDescent="0.4">
      <c r="D46" s="16"/>
      <c r="P46" s="7"/>
      <c r="Q46" s="8"/>
      <c r="R46" s="8"/>
    </row>
    <row r="47" spans="4:43" ht="24.95" customHeight="1" x14ac:dyDescent="0.4">
      <c r="D47" s="16"/>
      <c r="P47" s="7"/>
      <c r="Q47" s="8"/>
      <c r="R47" s="8"/>
    </row>
    <row r="48" spans="4:43" ht="24.95" customHeight="1" x14ac:dyDescent="0.4">
      <c r="D48" s="16"/>
      <c r="P48" s="7"/>
      <c r="Q48" s="8"/>
      <c r="R48" s="8"/>
    </row>
    <row r="49" spans="4:16" ht="24.95" customHeight="1" x14ac:dyDescent="0.4">
      <c r="D49" s="16"/>
      <c r="P49" s="16"/>
    </row>
    <row r="50" spans="4:16" ht="24.95" customHeight="1" x14ac:dyDescent="0.4">
      <c r="D50" s="16"/>
      <c r="P50" s="16"/>
    </row>
    <row r="51" spans="4:16" ht="24.95" customHeight="1" x14ac:dyDescent="0.4">
      <c r="D51" s="16"/>
      <c r="P51" s="16"/>
    </row>
    <row r="52" spans="4:16" ht="24.95" customHeight="1" x14ac:dyDescent="0.4">
      <c r="D52" s="16"/>
      <c r="P52" s="16"/>
    </row>
    <row r="53" spans="4:16" ht="24.95" customHeight="1" x14ac:dyDescent="0.4">
      <c r="D53" s="16"/>
      <c r="P53" s="16"/>
    </row>
  </sheetData>
  <mergeCells count="6">
    <mergeCell ref="B2:J2"/>
    <mergeCell ref="N2:V2"/>
    <mergeCell ref="Z2:AF2"/>
    <mergeCell ref="Z25:AF25"/>
    <mergeCell ref="AH25:AL25"/>
    <mergeCell ref="AH2:AL2"/>
  </mergeCells>
  <phoneticPr fontId="12" type="noConversion"/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77E6A-571D-4167-AEB1-E9F8D1F81369}">
  <sheetPr>
    <pageSetUpPr fitToPage="1"/>
  </sheetPr>
  <dimension ref="A1:AP66"/>
  <sheetViews>
    <sheetView showGridLines="0" zoomScale="55" zoomScaleNormal="55" workbookViewId="0">
      <selection activeCell="D42" sqref="D42"/>
    </sheetView>
  </sheetViews>
  <sheetFormatPr defaultRowHeight="26.25" x14ac:dyDescent="0.4"/>
  <cols>
    <col min="1" max="1" width="5.7109375" style="1" customWidth="1"/>
    <col min="2" max="3" width="16.7109375" style="1" customWidth="1"/>
    <col min="4" max="4" width="35.7109375" style="1" customWidth="1"/>
    <col min="5" max="6" width="16.7109375" style="1" customWidth="1"/>
    <col min="7" max="7" width="20.7109375" style="1" customWidth="1"/>
    <col min="8" max="9" width="20.7109375" style="1" hidden="1" customWidth="1"/>
    <col min="10" max="12" width="11.5703125" style="1" hidden="1" customWidth="1"/>
    <col min="13" max="13" width="10.7109375" style="1" customWidth="1"/>
    <col min="14" max="15" width="16.7109375" style="1" customWidth="1"/>
    <col min="16" max="16" width="35.7109375" style="1" customWidth="1"/>
    <col min="17" max="18" width="16.7109375" style="1" customWidth="1"/>
    <col min="19" max="19" width="20.7109375" style="1" customWidth="1"/>
    <col min="20" max="21" width="20.7109375" style="1" hidden="1" customWidth="1"/>
    <col min="22" max="24" width="13.7109375" style="1" hidden="1" customWidth="1"/>
    <col min="25" max="25" width="9.140625" style="1"/>
    <col min="26" max="26" width="16.7109375" style="1" customWidth="1"/>
    <col min="27" max="27" width="35.7109375" style="1" customWidth="1"/>
    <col min="28" max="29" width="16.7109375" style="1" customWidth="1"/>
    <col min="30" max="30" width="20.7109375" style="1" customWidth="1"/>
    <col min="31" max="31" width="13.7109375" style="1" hidden="1" customWidth="1"/>
    <col min="32" max="32" width="12.7109375" style="1" customWidth="1"/>
    <col min="33" max="33" width="9.140625" style="1"/>
    <col min="34" max="34" width="16.7109375" style="1" customWidth="1"/>
    <col min="35" max="35" width="35.7109375" style="1" customWidth="1"/>
    <col min="36" max="36" width="12.7109375" style="1" customWidth="1"/>
    <col min="37" max="38" width="34.42578125" style="1" hidden="1" customWidth="1"/>
    <col min="39" max="41" width="9.140625" style="1"/>
    <col min="42" max="16384" width="9.140625" style="2"/>
  </cols>
  <sheetData>
    <row r="1" spans="1:42" ht="24.95" customHeight="1" thickBot="1" x14ac:dyDescent="0.45"/>
    <row r="2" spans="1:42" ht="24.95" customHeight="1" x14ac:dyDescent="0.4">
      <c r="A2" s="9"/>
      <c r="B2" s="317" t="str">
        <f>"Výsledky - Soutěže "&amp;Uvod!A4&amp;" kola NHHL "&amp;TEXT(Uvod!B4,"d.m. rrrr")&amp;" "&amp;Uvod!C4&amp;" - MUŽI "</f>
        <v xml:space="preserve">Výsledky - Soutěže 2. kola NHHL 26.5. 2023 Svoboda - MUŽI </v>
      </c>
      <c r="C2" s="318"/>
      <c r="D2" s="318"/>
      <c r="E2" s="318"/>
      <c r="F2" s="318"/>
      <c r="G2" s="318"/>
      <c r="H2" s="318"/>
      <c r="I2" s="318"/>
      <c r="J2" s="319"/>
      <c r="K2" s="177"/>
      <c r="L2" s="177"/>
      <c r="M2" s="15"/>
      <c r="N2" s="308" t="str">
        <f>"Výsledky - Soutěže "&amp;Uvod!A4&amp;" kola NHHL "&amp;TEXT(Uvod!B4,"d.m. rrrr")&amp;" "&amp;Uvod!C4&amp;" - ŽENY "</f>
        <v xml:space="preserve">Výsledky - Soutěže 2. kola NHHL 26.5. 2023 Svoboda - ŽENY </v>
      </c>
      <c r="O2" s="309"/>
      <c r="P2" s="309"/>
      <c r="Q2" s="309"/>
      <c r="R2" s="309"/>
      <c r="S2" s="309"/>
      <c r="T2" s="320"/>
      <c r="U2" s="320"/>
      <c r="V2" s="310"/>
      <c r="W2" s="180"/>
      <c r="X2" s="180"/>
      <c r="Z2" s="317" t="str">
        <f>B2</f>
        <v xml:space="preserve">Výsledky - Soutěže 2. kola NHHL 26.5. 2023 Svoboda - MUŽI </v>
      </c>
      <c r="AA2" s="318"/>
      <c r="AB2" s="318"/>
      <c r="AC2" s="318"/>
      <c r="AD2" s="318"/>
      <c r="AE2" s="318"/>
      <c r="AF2" s="319"/>
      <c r="AH2" s="321" t="str">
        <f>"Pořadí po "&amp;Uvod!A4&amp;" kole NHHL - MUŽI"</f>
        <v>Pořadí po 2. kole NHHL - MUŽI</v>
      </c>
      <c r="AI2" s="322"/>
      <c r="AJ2" s="322"/>
      <c r="AK2" s="322"/>
      <c r="AL2" s="323"/>
      <c r="AM2" s="15"/>
    </row>
    <row r="3" spans="1:42" ht="24.95" customHeight="1" thickBot="1" x14ac:dyDescent="0.45">
      <c r="B3" s="21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3" t="s">
        <v>5</v>
      </c>
      <c r="H3" s="22" t="s">
        <v>108</v>
      </c>
      <c r="I3" s="22" t="s">
        <v>103</v>
      </c>
      <c r="J3" s="1" t="s">
        <v>27</v>
      </c>
      <c r="N3" s="73" t="s">
        <v>0</v>
      </c>
      <c r="O3" s="74" t="s">
        <v>1</v>
      </c>
      <c r="P3" s="74" t="s">
        <v>2</v>
      </c>
      <c r="Q3" s="74" t="s">
        <v>3</v>
      </c>
      <c r="R3" s="74" t="s">
        <v>4</v>
      </c>
      <c r="S3" s="74" t="s">
        <v>5</v>
      </c>
      <c r="T3" s="86" t="s">
        <v>108</v>
      </c>
      <c r="U3" s="86" t="s">
        <v>103</v>
      </c>
      <c r="V3" s="29" t="s">
        <v>27</v>
      </c>
      <c r="Z3" s="58" t="s">
        <v>1</v>
      </c>
      <c r="AA3" s="59" t="s">
        <v>2</v>
      </c>
      <c r="AB3" s="59" t="s">
        <v>3</v>
      </c>
      <c r="AC3" s="59" t="s">
        <v>4</v>
      </c>
      <c r="AD3" s="59" t="s">
        <v>5</v>
      </c>
      <c r="AE3" s="59" t="s">
        <v>27</v>
      </c>
      <c r="AF3" s="60" t="s">
        <v>7</v>
      </c>
      <c r="AH3" s="58" t="s">
        <v>1</v>
      </c>
      <c r="AI3" s="59" t="s">
        <v>2</v>
      </c>
      <c r="AJ3" s="158" t="s">
        <v>7</v>
      </c>
      <c r="AK3" s="31" t="s">
        <v>27</v>
      </c>
      <c r="AL3" s="95" t="s">
        <v>73</v>
      </c>
      <c r="AP3" s="1"/>
    </row>
    <row r="4" spans="1:42" ht="24.95" customHeight="1" x14ac:dyDescent="0.4">
      <c r="B4" s="141">
        <v>7</v>
      </c>
      <c r="C4" s="147">
        <f>IF(Tabulka171013[[#This Row],[ ]]="","",IF(Tabulka171013[[#This Row],[ ]]="NEÚČAST","",IF(OR(Tabulka171013[Výsledný čas]="N",Tabulka171013[Výsledný čas]="D"),$L$4-$L$5,_xlfn.RANK.EQ(Tabulka171013[[#This Row],[ ]],Tabulka171013[[ ]],1))))</f>
        <v>1</v>
      </c>
      <c r="D4" s="142" t="s">
        <v>89</v>
      </c>
      <c r="E4" s="123">
        <v>15.077</v>
      </c>
      <c r="F4" s="123">
        <v>15.063000000000001</v>
      </c>
      <c r="G4" s="148">
        <f>IF(OR(Tabulka171013[[#This Row],[LP]]="N",Tabulka171013[[#This Row],[PP]]="N"),"N",IF(OR(Tabulka171013[[#This Row],[LP]]="D",Tabulka171013[[#This Row],[PP]]="D"),"D",IF(OR(Tabulka171013[[#This Row],[LP]]="NEÚČAST",Tabulka171013[[#This Row],[PP]]="NEÚČAST"),"NEÚČAST",IF(OR(Tabulka171013[[#This Row],[LP]]="",Tabulka171013[[#This Row],[PP]]=""),"",MAX(Tabulka171013[[#This Row],[LP]:[PP]])))))</f>
        <v>15.077</v>
      </c>
      <c r="H4" s="149">
        <f>COUNTIF(Tabulka171013[[#This Row],[Tým]],"*")</f>
        <v>1</v>
      </c>
      <c r="I4" s="149">
        <f>COUNTIF(Tabulka171013[[#This Row],[Výsledný čas]],"NEÚČAST")</f>
        <v>0</v>
      </c>
      <c r="J4" s="1">
        <f>IF(Tabulka171013[[#This Row],[Výsledný čas]]="N",998,IF(Tabulka171013[[#This Row],[Výsledný čas]]="D",998,IF(Tabulka171013[[#This Row],[Výsledný čas]]="","",Tabulka171013[[#This Row],[Výsledný čas]])))</f>
        <v>15.077</v>
      </c>
      <c r="L4" s="1">
        <f>SUM(Tabulka171013[ÚČAST])</f>
        <v>27</v>
      </c>
      <c r="N4" s="155">
        <v>21</v>
      </c>
      <c r="O4" s="80">
        <f>IF(Tabulka1710136[[#This Row],[ ]]="","",IF(Tabulka1710136[[#This Row],[ ]]="NEÚČAST","",IF(OR(Tabulka1710136[Výsledný čas]="N",Tabulka1710136[Výsledný čas]="D"),$X$4-$X$5,_xlfn.RANK.EQ(Tabulka1710136[[#This Row],[ ]],Tabulka1710136[[ ]],1))))</f>
        <v>1</v>
      </c>
      <c r="P4" s="156" t="s">
        <v>34</v>
      </c>
      <c r="Q4" s="123">
        <v>17.265000000000001</v>
      </c>
      <c r="R4" s="157">
        <v>16.765999999999998</v>
      </c>
      <c r="S4" s="81">
        <f>IF(OR(Tabulka1710136[[#This Row],[LP]]="N",Tabulka1710136[[#This Row],[PP]]="N"),"N",IF(OR(Tabulka1710136[[#This Row],[LP]]="D",Tabulka1710136[[#This Row],[PP]]="D"),"D",IF(OR(Tabulka1710136[[#This Row],[LP]]="NEÚČAST",Tabulka1710136[[#This Row],[PP]]="NEÚČAST"),"NEÚČAST",IF(OR(Tabulka1710136[[#This Row],[LP]]="",Tabulka1710136[[#This Row],[PP]]=""),"",MAX(Tabulka1710136[[#This Row],[LP]:[PP]])))))</f>
        <v>17.265000000000001</v>
      </c>
      <c r="T4" s="181">
        <f>COUNTIF(Tabulka1710136[[#This Row],[Tým]],"*")</f>
        <v>1</v>
      </c>
      <c r="U4" s="181">
        <f>COUNTIF(Tabulka1710136[[#This Row],[Výsledný čas]],"NEÚČAST")</f>
        <v>0</v>
      </c>
      <c r="V4" s="88">
        <f>IF(Tabulka1710136[[#This Row],[Výsledný čas]]="N",998,IF(Tabulka1710136[[#This Row],[Výsledný čas]]="D",998,IF(Tabulka1710136[[#This Row],[Výsledný čas]]="","",Tabulka1710136[[#This Row],[Výsledný čas]])))</f>
        <v>17.265000000000001</v>
      </c>
      <c r="X4" s="1">
        <f>SUM(Tabulka1710136[ÚČAST])</f>
        <v>11</v>
      </c>
      <c r="Z4" s="77">
        <f>IF(OR(Tabulka381114[Výsledný čas]="N",Tabulka381114[Výsledný čas]="D",Tabulka381114[Výsledný čas]="NEÚČAST"),Uvod!$E$4,_xlfn.RANK.EQ(Tabulka381114[[#This Row],[ ]],Tabulka381114[[ ]],1))</f>
        <v>1</v>
      </c>
      <c r="AA4" s="102" t="s">
        <v>19</v>
      </c>
      <c r="AB4" s="79">
        <f>VLOOKUP(Tabulka381114[[#This Row],[Tým]],Tabulka171013[[Tým]:[ ]],2,FALSE)</f>
        <v>15.733000000000001</v>
      </c>
      <c r="AC4" s="79">
        <f>VLOOKUP(Tabulka381114[[#This Row],[Tým]],Tabulka171013[[Tým]:[ ]],3,FALSE)</f>
        <v>14.904</v>
      </c>
      <c r="AD4" s="80">
        <f>VLOOKUP(Tabulka381114[[#This Row],[Tým]],Tabulka171013[[Tým]:[ ]],4,FALSE)</f>
        <v>15.733000000000001</v>
      </c>
      <c r="AE4" s="80">
        <f>VLOOKUP(Tabulka381114[[#This Row],[Tým]],Tabulka171013[[Tým]:[ ]],7,FALSE)</f>
        <v>15.733000000000001</v>
      </c>
      <c r="AF4" s="81">
        <f>IF(Tabulka381114[[#This Row],[Výsledný čas]]="N",5,IF(Tabulka381114[[#This Row],[Výsledný čas]]="D",0,IF(Tabulka381114[[#This Row],[Výsledný čas]]="NEÚČAST",0,Tabulka4[[#Totals],[Týmy muži]]+6-Tabulka381114[[#This Row],[Umístění]])))</f>
        <v>24</v>
      </c>
      <c r="AH4" s="77">
        <f>_xlfn.RANK.EQ(Tabulka591215[[#This Row],[Body]],Tabulka591215[Body],0)</f>
        <v>1</v>
      </c>
      <c r="AI4" s="102" t="s">
        <v>19</v>
      </c>
      <c r="AJ4" s="187">
        <f>VLOOKUP(Tabulka591215[[#This Row],[Tým]],Tabulka381114[[Tým]:[Body]],6,FALSE)+Tabulka591215[[#This Row],[ ]]</f>
        <v>48</v>
      </c>
      <c r="AK4" s="82">
        <f>VLOOKUP(Tabulka591215[[#This Row],[Tým]],Tabulka59121521[[Tým]:[Body]],4,FALSE)</f>
        <v>24</v>
      </c>
      <c r="AL4" s="96">
        <f>Tabulka591215[[#This Row],[Umístění]]</f>
        <v>1</v>
      </c>
      <c r="AP4" s="1"/>
    </row>
    <row r="5" spans="1:42" ht="24.95" customHeight="1" x14ac:dyDescent="0.4">
      <c r="B5" s="143">
        <v>5</v>
      </c>
      <c r="C5" s="149">
        <f>IF(Tabulka171013[[#This Row],[ ]]="","",IF(Tabulka171013[[#This Row],[ ]]="NEÚČAST","",IF(OR(Tabulka171013[Výsledný čas]="N",Tabulka171013[Výsledný čas]="D"),$L$4-$L$5,_xlfn.RANK.EQ(Tabulka171013[[#This Row],[ ]],Tabulka171013[[ ]],1))))</f>
        <v>2</v>
      </c>
      <c r="D5" s="127" t="s">
        <v>90</v>
      </c>
      <c r="E5" s="121">
        <v>15.324999999999999</v>
      </c>
      <c r="F5" s="121">
        <v>15.337999999999999</v>
      </c>
      <c r="G5" s="150">
        <f>IF(OR(Tabulka171013[[#This Row],[LP]]="N",Tabulka171013[[#This Row],[PP]]="N"),"N",IF(OR(Tabulka171013[[#This Row],[LP]]="D",Tabulka171013[[#This Row],[PP]]="D"),"D",IF(OR(Tabulka171013[[#This Row],[LP]]="NEÚČAST",Tabulka171013[[#This Row],[PP]]="NEÚČAST"),"NEÚČAST",IF(OR(Tabulka171013[[#This Row],[LP]]="",Tabulka171013[[#This Row],[PP]]=""),"",MAX(Tabulka171013[[#This Row],[LP]:[PP]])))))</f>
        <v>15.337999999999999</v>
      </c>
      <c r="H5" s="149">
        <f>COUNTIF(Tabulka171013[[#This Row],[Tým]],"*")</f>
        <v>1</v>
      </c>
      <c r="I5" s="149">
        <f>COUNTIF(Tabulka171013[[#This Row],[Výsledný čas]],"NEÚČAST")</f>
        <v>0</v>
      </c>
      <c r="J5" s="1">
        <f>IF(Tabulka171013[[#This Row],[Výsledný čas]]="N",998,IF(Tabulka171013[[#This Row],[Výsledný čas]]="D",998,IF(Tabulka171013[[#This Row],[Výsledný čas]]="","",Tabulka171013[[#This Row],[Výsledný čas]])))</f>
        <v>15.337999999999999</v>
      </c>
      <c r="L5" s="1">
        <f>SUM(Tabulka171013[NEÚČAST])</f>
        <v>0</v>
      </c>
      <c r="N5" s="133">
        <v>13</v>
      </c>
      <c r="O5" s="25">
        <f>IF(Tabulka1710136[[#This Row],[ ]]="","",IF(Tabulka1710136[[#This Row],[ ]]="NEÚČAST","",IF(OR(Tabulka1710136[Výsledný čas]="N",Tabulka1710136[Výsledný čas]="D"),$X$4-$X$5,_xlfn.RANK.EQ(Tabulka1710136[[#This Row],[ ]],Tabulka1710136[[ ]],1))))</f>
        <v>2</v>
      </c>
      <c r="P5" s="134" t="s">
        <v>22</v>
      </c>
      <c r="Q5" s="122">
        <v>17.855</v>
      </c>
      <c r="R5" s="122">
        <v>17.456</v>
      </c>
      <c r="S5" s="29">
        <f>IF(OR(Tabulka1710136[[#This Row],[LP]]="N",Tabulka1710136[[#This Row],[PP]]="N"),"N",IF(OR(Tabulka1710136[[#This Row],[LP]]="D",Tabulka1710136[[#This Row],[PP]]="D"),"D",IF(OR(Tabulka1710136[[#This Row],[LP]]="NEÚČAST",Tabulka1710136[[#This Row],[PP]]="NEÚČAST"),"NEÚČAST",IF(OR(Tabulka1710136[[#This Row],[LP]]="",Tabulka1710136[[#This Row],[PP]]=""),"",MAX(Tabulka1710136[[#This Row],[LP]:[PP]])))))</f>
        <v>17.855</v>
      </c>
      <c r="T5" s="88">
        <f>COUNTIF(Tabulka1710136[[#This Row],[Tým]],"*")</f>
        <v>1</v>
      </c>
      <c r="U5" s="88">
        <f>COUNTIF(Tabulka1710136[[#This Row],[Výsledný čas]],"NEÚČAST")</f>
        <v>0</v>
      </c>
      <c r="V5" s="88">
        <f>IF(Tabulka1710136[[#This Row],[Výsledný čas]]="N",998,IF(Tabulka1710136[[#This Row],[Výsledný čas]]="D",998,IF(Tabulka1710136[[#This Row],[Výsledný čas]]="","",Tabulka1710136[[#This Row],[Výsledný čas]])))</f>
        <v>17.855</v>
      </c>
      <c r="X5" s="1">
        <f>SUM(Tabulka1710136[NEÚČAST])</f>
        <v>0</v>
      </c>
      <c r="Z5" s="31">
        <f>IF(OR(Tabulka381114[Výsledný čas]="N",Tabulka381114[Výsledný čas]="D",Tabulka381114[Výsledný čas]="NEÚČAST"),Uvod!$E$4,_xlfn.RANK.EQ(Tabulka381114[[#This Row],[ ]],Tabulka381114[[ ]],1))</f>
        <v>2</v>
      </c>
      <c r="AA5" s="54" t="s">
        <v>13</v>
      </c>
      <c r="AB5" s="44">
        <f>VLOOKUP(Tabulka381114[[#This Row],[Tým]],Tabulka171013[[Tým]:[ ]],2,FALSE)</f>
        <v>16.024999999999999</v>
      </c>
      <c r="AC5" s="44">
        <f>VLOOKUP(Tabulka381114[[#This Row],[Tým]],Tabulka171013[[Tým]:[ ]],3,FALSE)</f>
        <v>15.433</v>
      </c>
      <c r="AD5" s="25">
        <f>VLOOKUP(Tabulka381114[[#This Row],[Tým]],Tabulka171013[[Tým]:[ ]],4,FALSE)</f>
        <v>16.024999999999999</v>
      </c>
      <c r="AE5" s="25">
        <f>VLOOKUP(Tabulka381114[[#This Row],[Tým]],Tabulka171013[[Tým]:[ ]],7,FALSE)</f>
        <v>16.024999999999999</v>
      </c>
      <c r="AF5" s="29">
        <f>IF(Tabulka381114[[#This Row],[Výsledný čas]]="N",5,IF(Tabulka381114[[#This Row],[Výsledný čas]]="D",0,IF(Tabulka381114[[#This Row],[Výsledný čas]]="NEÚČAST",0,Tabulka4[[#Totals],[Týmy muži]]+6-Tabulka381114[[#This Row],[Umístění]])))</f>
        <v>23</v>
      </c>
      <c r="AH5" s="31">
        <f>_xlfn.RANK.EQ(Tabulka591215[[#This Row],[Body]],Tabulka591215[Body],0)</f>
        <v>2</v>
      </c>
      <c r="AI5" s="53" t="s">
        <v>20</v>
      </c>
      <c r="AJ5" s="188">
        <f>VLOOKUP(Tabulka591215[[#This Row],[Tým]],Tabulka381114[[Tým]:[Body]],6,FALSE)+Tabulka591215[[#This Row],[ ]]</f>
        <v>43</v>
      </c>
      <c r="AK5" s="82">
        <f>VLOOKUP(Tabulka591215[[#This Row],[Tým]],Tabulka59121521[[Tým]:[Body]],4,FALSE)</f>
        <v>21</v>
      </c>
      <c r="AL5" s="39">
        <f>Tabulka591215[[#This Row],[Umístění]]</f>
        <v>2</v>
      </c>
      <c r="AP5" s="1"/>
    </row>
    <row r="6" spans="1:42" ht="24.95" customHeight="1" x14ac:dyDescent="0.4">
      <c r="B6" s="129">
        <v>30</v>
      </c>
      <c r="C6" s="149">
        <f>IF(Tabulka171013[[#This Row],[ ]]="","",IF(Tabulka171013[[#This Row],[ ]]="NEÚČAST","",IF(OR(Tabulka171013[Výsledný čas]="N",Tabulka171013[Výsledný čas]="D"),$L$4-$L$5,_xlfn.RANK.EQ(Tabulka171013[[#This Row],[ ]],Tabulka171013[[ ]],1))))</f>
        <v>3</v>
      </c>
      <c r="D6" s="127" t="s">
        <v>12</v>
      </c>
      <c r="E6" s="120">
        <v>15.443</v>
      </c>
      <c r="F6" s="120">
        <v>15.474</v>
      </c>
      <c r="G6" s="150">
        <f>IF(OR(Tabulka171013[[#This Row],[LP]]="N",Tabulka171013[[#This Row],[PP]]="N"),"N",IF(OR(Tabulka171013[[#This Row],[LP]]="D",Tabulka171013[[#This Row],[PP]]="D"),"D",IF(OR(Tabulka171013[[#This Row],[LP]]="NEÚČAST",Tabulka171013[[#This Row],[PP]]="NEÚČAST"),"NEÚČAST",IF(OR(Tabulka171013[[#This Row],[LP]]="",Tabulka171013[[#This Row],[PP]]=""),"",MAX(Tabulka171013[[#This Row],[LP]:[PP]])))))</f>
        <v>15.474</v>
      </c>
      <c r="H6" s="149">
        <f>COUNTIF(Tabulka171013[[#This Row],[Tým]],"*")</f>
        <v>1</v>
      </c>
      <c r="I6" s="149">
        <f>COUNTIF(Tabulka171013[[#This Row],[Výsledný čas]],"NEÚČAST")</f>
        <v>0</v>
      </c>
      <c r="J6" s="1">
        <f>IF(Tabulka171013[[#This Row],[Výsledný čas]]="N",998,IF(Tabulka171013[[#This Row],[Výsledný čas]]="D",998,IF(Tabulka171013[[#This Row],[Výsledný čas]]="","",Tabulka171013[[#This Row],[Výsledný čas]])))</f>
        <v>15.474</v>
      </c>
      <c r="N6" s="133">
        <v>26</v>
      </c>
      <c r="O6" s="25">
        <f>IF(Tabulka1710136[[#This Row],[ ]]="","",IF(Tabulka1710136[[#This Row],[ ]]="NEÚČAST","",IF(OR(Tabulka1710136[Výsledný čas]="N",Tabulka1710136[Výsledný čas]="D"),$X$4-$X$5,_xlfn.RANK.EQ(Tabulka1710136[[#This Row],[ ]],Tabulka1710136[[ ]],1))))</f>
        <v>3</v>
      </c>
      <c r="P6" s="134" t="s">
        <v>36</v>
      </c>
      <c r="Q6" s="122">
        <v>20.38</v>
      </c>
      <c r="R6" s="122">
        <v>19.927</v>
      </c>
      <c r="S6" s="29">
        <f>IF(OR(Tabulka1710136[[#This Row],[LP]]="N",Tabulka1710136[[#This Row],[PP]]="N"),"N",IF(OR(Tabulka1710136[[#This Row],[LP]]="D",Tabulka1710136[[#This Row],[PP]]="D"),"D",IF(OR(Tabulka1710136[[#This Row],[LP]]="NEÚČAST",Tabulka1710136[[#This Row],[PP]]="NEÚČAST"),"NEÚČAST",IF(OR(Tabulka1710136[[#This Row],[LP]]="",Tabulka1710136[[#This Row],[PP]]=""),"",MAX(Tabulka1710136[[#This Row],[LP]:[PP]])))))</f>
        <v>20.38</v>
      </c>
      <c r="T6" s="88">
        <f>COUNTIF(Tabulka1710136[[#This Row],[Tým]],"*")</f>
        <v>1</v>
      </c>
      <c r="U6" s="88">
        <f>COUNTIF(Tabulka1710136[[#This Row],[Výsledný čas]],"NEÚČAST")</f>
        <v>0</v>
      </c>
      <c r="V6" s="88">
        <f>IF(Tabulka1710136[[#This Row],[Výsledný čas]]="N",998,IF(Tabulka1710136[[#This Row],[Výsledný čas]]="D",998,IF(Tabulka1710136[[#This Row],[Výsledný čas]]="","",Tabulka1710136[[#This Row],[Výsledný čas]])))</f>
        <v>20.38</v>
      </c>
      <c r="Z6" s="31">
        <f>IF(OR(Tabulka381114[Výsledný čas]="N",Tabulka381114[Výsledný čas]="D",Tabulka381114[Výsledný čas]="NEÚČAST"),Uvod!$E$4,_xlfn.RANK.EQ(Tabulka381114[[#This Row],[ ]],Tabulka381114[[ ]],1))</f>
        <v>3</v>
      </c>
      <c r="AA6" s="53" t="s">
        <v>20</v>
      </c>
      <c r="AB6" s="44">
        <f>VLOOKUP(Tabulka381114[[#This Row],[Tým]],Tabulka171013[[Tým]:[ ]],2,FALSE)</f>
        <v>14.895</v>
      </c>
      <c r="AC6" s="44">
        <f>VLOOKUP(Tabulka381114[[#This Row],[Tým]],Tabulka171013[[Tým]:[ ]],3,FALSE)</f>
        <v>16.152000000000001</v>
      </c>
      <c r="AD6" s="25">
        <f>VLOOKUP(Tabulka381114[[#This Row],[Tým]],Tabulka171013[[Tým]:[ ]],4,FALSE)</f>
        <v>16.152000000000001</v>
      </c>
      <c r="AE6" s="25">
        <f>VLOOKUP(Tabulka381114[[#This Row],[Tým]],Tabulka171013[[Tým]:[ ]],7,FALSE)</f>
        <v>16.152000000000001</v>
      </c>
      <c r="AF6" s="29">
        <f>IF(Tabulka381114[[#This Row],[Výsledný čas]]="N",5,IF(Tabulka381114[[#This Row],[Výsledný čas]]="D",0,IF(Tabulka381114[[#This Row],[Výsledný čas]]="NEÚČAST",0,Tabulka4[[#Totals],[Týmy muži]]+6-Tabulka381114[[#This Row],[Umístění]])))</f>
        <v>22</v>
      </c>
      <c r="AH6" s="31">
        <f>_xlfn.RANK.EQ(Tabulka591215[[#This Row],[Body]],Tabulka591215[Body],0)</f>
        <v>3</v>
      </c>
      <c r="AI6" s="53" t="s">
        <v>22</v>
      </c>
      <c r="AJ6" s="188">
        <f>VLOOKUP(Tabulka591215[[#This Row],[Tým]],Tabulka381114[[Tým]:[Body]],6,FALSE)+Tabulka591215[[#This Row],[ ]]</f>
        <v>41</v>
      </c>
      <c r="AK6" s="82">
        <f>VLOOKUP(Tabulka591215[[#This Row],[Tým]],Tabulka59121521[[Tým]:[Body]],4,FALSE)</f>
        <v>22</v>
      </c>
      <c r="AL6" s="39">
        <f>Tabulka591215[[#This Row],[Umístění]]</f>
        <v>3</v>
      </c>
      <c r="AP6" s="1"/>
    </row>
    <row r="7" spans="1:42" ht="24.95" customHeight="1" x14ac:dyDescent="0.4">
      <c r="B7" s="129">
        <v>9</v>
      </c>
      <c r="C7" s="149">
        <f>IF(Tabulka171013[[#This Row],[ ]]="","",IF(Tabulka171013[[#This Row],[ ]]="NEÚČAST","",IF(OR(Tabulka171013[Výsledný čas]="N",Tabulka171013[Výsledný čas]="D"),$L$4-$L$5,_xlfn.RANK.EQ(Tabulka171013[[#This Row],[ ]],Tabulka171013[[ ]],1))))</f>
        <v>4</v>
      </c>
      <c r="D7" s="127" t="s">
        <v>19</v>
      </c>
      <c r="E7" s="120">
        <v>15.733000000000001</v>
      </c>
      <c r="F7" s="124">
        <v>14.904</v>
      </c>
      <c r="G7" s="150">
        <f>IF(OR(Tabulka171013[[#This Row],[LP]]="N",Tabulka171013[[#This Row],[PP]]="N"),"N",IF(OR(Tabulka171013[[#This Row],[LP]]="D",Tabulka171013[[#This Row],[PP]]="D"),"D",IF(OR(Tabulka171013[[#This Row],[LP]]="NEÚČAST",Tabulka171013[[#This Row],[PP]]="NEÚČAST"),"NEÚČAST",IF(OR(Tabulka171013[[#This Row],[LP]]="",Tabulka171013[[#This Row],[PP]]=""),"",MAX(Tabulka171013[[#This Row],[LP]:[PP]])))))</f>
        <v>15.733000000000001</v>
      </c>
      <c r="H7" s="149">
        <f>COUNTIF(Tabulka171013[[#This Row],[Tým]],"*")</f>
        <v>1</v>
      </c>
      <c r="I7" s="149">
        <f>COUNTIF(Tabulka171013[[#This Row],[Výsledný čas]],"NEÚČAST")</f>
        <v>0</v>
      </c>
      <c r="J7" s="1">
        <f>IF(Tabulka171013[[#This Row],[Výsledný čas]]="N",998,IF(Tabulka171013[[#This Row],[Výsledný čas]]="D",998,IF(Tabulka171013[[#This Row],[Výsledný čas]]="","",Tabulka171013[[#This Row],[Výsledný čas]])))</f>
        <v>15.733000000000001</v>
      </c>
      <c r="N7" s="133">
        <v>15</v>
      </c>
      <c r="O7" s="25">
        <f>IF(Tabulka1710136[[#This Row],[ ]]="","",IF(Tabulka1710136[[#This Row],[ ]]="NEÚČAST","",IF(OR(Tabulka1710136[Výsledný čas]="N",Tabulka1710136[Výsledný čas]="D"),$X$4-$X$5,_xlfn.RANK.EQ(Tabulka1710136[[#This Row],[ ]],Tabulka1710136[[ ]],1))))</f>
        <v>4</v>
      </c>
      <c r="P7" s="135" t="s">
        <v>21</v>
      </c>
      <c r="Q7" s="122">
        <v>20.561</v>
      </c>
      <c r="R7" s="122">
        <v>19.562999999999999</v>
      </c>
      <c r="S7" s="29">
        <f>IF(OR(Tabulka1710136[[#This Row],[LP]]="N",Tabulka1710136[[#This Row],[PP]]="N"),"N",IF(OR(Tabulka1710136[[#This Row],[LP]]="D",Tabulka1710136[[#This Row],[PP]]="D"),"D",IF(OR(Tabulka1710136[[#This Row],[LP]]="NEÚČAST",Tabulka1710136[[#This Row],[PP]]="NEÚČAST"),"NEÚČAST",IF(OR(Tabulka1710136[[#This Row],[LP]]="",Tabulka1710136[[#This Row],[PP]]=""),"",MAX(Tabulka1710136[[#This Row],[LP]:[PP]])))))</f>
        <v>20.561</v>
      </c>
      <c r="T7" s="88">
        <f>COUNTIF(Tabulka1710136[[#This Row],[Tým]],"*")</f>
        <v>1</v>
      </c>
      <c r="U7" s="88">
        <f>COUNTIF(Tabulka1710136[[#This Row],[Výsledný čas]],"NEÚČAST")</f>
        <v>0</v>
      </c>
      <c r="V7" s="88">
        <f>IF(Tabulka1710136[[#This Row],[Výsledný čas]]="N",998,IF(Tabulka1710136[[#This Row],[Výsledný čas]]="D",998,IF(Tabulka1710136[[#This Row],[Výsledný čas]]="","",Tabulka1710136[[#This Row],[Výsledný čas]])))</f>
        <v>20.561</v>
      </c>
      <c r="Z7" s="31">
        <f>IF(OR(Tabulka381114[Výsledný čas]="N",Tabulka381114[Výsledný čas]="D",Tabulka381114[Výsledný čas]="NEÚČAST"),Uvod!$E$4,_xlfn.RANK.EQ(Tabulka381114[[#This Row],[ ]],Tabulka381114[[ ]],1))</f>
        <v>4</v>
      </c>
      <c r="AA7" s="53" t="s">
        <v>23</v>
      </c>
      <c r="AB7" s="44">
        <f>VLOOKUP(Tabulka381114[[#This Row],[Tým]],Tabulka171013[[Tým]:[ ]],2,FALSE)</f>
        <v>15.333</v>
      </c>
      <c r="AC7" s="44">
        <f>VLOOKUP(Tabulka381114[[#This Row],[Tým]],Tabulka171013[[Tým]:[ ]],3,FALSE)</f>
        <v>16.170000000000002</v>
      </c>
      <c r="AD7" s="25">
        <f>VLOOKUP(Tabulka381114[[#This Row],[Tým]],Tabulka171013[[Tým]:[ ]],4,FALSE)</f>
        <v>16.170000000000002</v>
      </c>
      <c r="AE7" s="25">
        <f>VLOOKUP(Tabulka381114[[#This Row],[Tým]],Tabulka171013[[Tým]:[ ]],7,FALSE)</f>
        <v>16.170000000000002</v>
      </c>
      <c r="AF7" s="29">
        <f>IF(Tabulka381114[[#This Row],[Výsledný čas]]="N",5,IF(Tabulka381114[[#This Row],[Výsledný čas]]="D",0,IF(Tabulka381114[[#This Row],[Výsledný čas]]="NEÚČAST",0,Tabulka4[[#Totals],[Týmy muži]]+6-Tabulka381114[[#This Row],[Umístění]])))</f>
        <v>21</v>
      </c>
      <c r="AH7" s="31">
        <f>_xlfn.RANK.EQ(Tabulka591215[[#This Row],[Body]],Tabulka591215[Body],0)</f>
        <v>4</v>
      </c>
      <c r="AI7" s="53" t="s">
        <v>23</v>
      </c>
      <c r="AJ7" s="188">
        <f>VLOOKUP(Tabulka591215[[#This Row],[Tým]],Tabulka381114[[Tým]:[Body]],6,FALSE)+Tabulka591215[[#This Row],[ ]]</f>
        <v>37</v>
      </c>
      <c r="AK7" s="82">
        <f>VLOOKUP(Tabulka591215[[#This Row],[Tým]],Tabulka59121521[[Tým]:[Body]],4,FALSE)</f>
        <v>16</v>
      </c>
      <c r="AL7" s="39">
        <f>Tabulka591215[[#This Row],[Umístění]]</f>
        <v>4</v>
      </c>
      <c r="AP7" s="1"/>
    </row>
    <row r="8" spans="1:42" ht="24.95" customHeight="1" x14ac:dyDescent="0.4">
      <c r="B8" s="144">
        <v>33</v>
      </c>
      <c r="C8" s="149">
        <f>IF(Tabulka171013[[#This Row],[ ]]="","",IF(Tabulka171013[[#This Row],[ ]]="NEÚČAST","",IF(OR(Tabulka171013[Výsledný čas]="N",Tabulka171013[Výsledný čas]="D"),$L$4-$L$5,_xlfn.RANK.EQ(Tabulka171013[[#This Row],[ ]],Tabulka171013[[ ]],1))))</f>
        <v>5</v>
      </c>
      <c r="D8" s="127" t="s">
        <v>13</v>
      </c>
      <c r="E8" s="120">
        <v>16.024999999999999</v>
      </c>
      <c r="F8" s="120">
        <v>15.433</v>
      </c>
      <c r="G8" s="150">
        <f>IF(OR(Tabulka171013[[#This Row],[LP]]="N",Tabulka171013[[#This Row],[PP]]="N"),"N",IF(OR(Tabulka171013[[#This Row],[LP]]="D",Tabulka171013[[#This Row],[PP]]="D"),"D",IF(OR(Tabulka171013[[#This Row],[LP]]="NEÚČAST",Tabulka171013[[#This Row],[PP]]="NEÚČAST"),"NEÚČAST",IF(OR(Tabulka171013[[#This Row],[LP]]="",Tabulka171013[[#This Row],[PP]]=""),"",MAX(Tabulka171013[[#This Row],[LP]:[PP]])))))</f>
        <v>16.024999999999999</v>
      </c>
      <c r="H8" s="149">
        <f>COUNTIF(Tabulka171013[[#This Row],[Tým]],"*")</f>
        <v>1</v>
      </c>
      <c r="I8" s="149">
        <f>COUNTIF(Tabulka171013[[#This Row],[Výsledný čas]],"NEÚČAST")</f>
        <v>0</v>
      </c>
      <c r="J8" s="1">
        <f>IF(Tabulka171013[[#This Row],[Výsledný čas]]="N",998,IF(Tabulka171013[[#This Row],[Výsledný čas]]="D",998,IF(Tabulka171013[[#This Row],[Výsledný čas]]="","",Tabulka171013[[#This Row],[Výsledný čas]])))</f>
        <v>16.024999999999999</v>
      </c>
      <c r="N8" s="133">
        <v>31</v>
      </c>
      <c r="O8" s="25">
        <f>IF(Tabulka1710136[[#This Row],[ ]]="","",IF(Tabulka1710136[[#This Row],[ ]]="NEÚČAST","",IF(OR(Tabulka1710136[Výsledný čas]="N",Tabulka1710136[Výsledný čas]="D"),$X$4-$X$5,_xlfn.RANK.EQ(Tabulka1710136[[#This Row],[ ]],Tabulka1710136[[ ]],1))))</f>
        <v>5</v>
      </c>
      <c r="P8" s="134" t="s">
        <v>35</v>
      </c>
      <c r="Q8" s="122">
        <v>21.809000000000001</v>
      </c>
      <c r="R8" s="122">
        <v>21.872</v>
      </c>
      <c r="S8" s="29">
        <f>IF(OR(Tabulka1710136[[#This Row],[LP]]="N",Tabulka1710136[[#This Row],[PP]]="N"),"N",IF(OR(Tabulka1710136[[#This Row],[LP]]="D",Tabulka1710136[[#This Row],[PP]]="D"),"D",IF(OR(Tabulka1710136[[#This Row],[LP]]="NEÚČAST",Tabulka1710136[[#This Row],[PP]]="NEÚČAST"),"NEÚČAST",IF(OR(Tabulka1710136[[#This Row],[LP]]="",Tabulka1710136[[#This Row],[PP]]=""),"",MAX(Tabulka1710136[[#This Row],[LP]:[PP]])))))</f>
        <v>21.872</v>
      </c>
      <c r="T8" s="88">
        <f>COUNTIF(Tabulka1710136[[#This Row],[Tým]],"*")</f>
        <v>1</v>
      </c>
      <c r="U8" s="88">
        <f>COUNTIF(Tabulka1710136[[#This Row],[Výsledný čas]],"NEÚČAST")</f>
        <v>0</v>
      </c>
      <c r="V8" s="88">
        <f>IF(Tabulka1710136[[#This Row],[Výsledný čas]]="N",998,IF(Tabulka1710136[[#This Row],[Výsledný čas]]="D",998,IF(Tabulka1710136[[#This Row],[Výsledný čas]]="","",Tabulka1710136[[#This Row],[Výsledný čas]])))</f>
        <v>21.872</v>
      </c>
      <c r="Z8" s="31">
        <f>IF(OR(Tabulka381114[Výsledný čas]="N",Tabulka381114[Výsledný čas]="D",Tabulka381114[Výsledný čas]="NEÚČAST"),Uvod!$E$4,_xlfn.RANK.EQ(Tabulka381114[[#This Row],[ ]],Tabulka381114[[ ]],1))</f>
        <v>5</v>
      </c>
      <c r="AA8" s="53" t="s">
        <v>16</v>
      </c>
      <c r="AB8" s="44">
        <f>VLOOKUP(Tabulka381114[[#This Row],[Tým]],Tabulka171013[[Tým]:[ ]],2,FALSE)</f>
        <v>16.308</v>
      </c>
      <c r="AC8" s="44">
        <f>VLOOKUP(Tabulka381114[[#This Row],[Tým]],Tabulka171013[[Tým]:[ ]],3,FALSE)</f>
        <v>15.663</v>
      </c>
      <c r="AD8" s="25">
        <f>VLOOKUP(Tabulka381114[[#This Row],[Tým]],Tabulka171013[[Tým]:[ ]],4,FALSE)</f>
        <v>16.308</v>
      </c>
      <c r="AE8" s="25">
        <f>VLOOKUP(Tabulka381114[[#This Row],[Tým]],Tabulka171013[[Tým]:[ ]],7,FALSE)</f>
        <v>16.308</v>
      </c>
      <c r="AF8" s="29">
        <f>IF(Tabulka381114[[#This Row],[Výsledný čas]]="N",5,IF(Tabulka381114[[#This Row],[Výsledný čas]]="D",0,IF(Tabulka381114[[#This Row],[Výsledný čas]]="NEÚČAST",0,Tabulka4[[#Totals],[Týmy muži]]+6-Tabulka381114[[#This Row],[Umístění]])))</f>
        <v>20</v>
      </c>
      <c r="AH8" s="31">
        <f>_xlfn.RANK.EQ(Tabulka591215[[#This Row],[Body]],Tabulka591215[Body],0)</f>
        <v>5</v>
      </c>
      <c r="AI8" s="53" t="s">
        <v>15</v>
      </c>
      <c r="AJ8" s="188">
        <f>VLOOKUP(Tabulka591215[[#This Row],[Tým]],Tabulka381114[[Tým]:[Body]],6,FALSE)+Tabulka591215[[#This Row],[ ]]</f>
        <v>36</v>
      </c>
      <c r="AK8" s="82">
        <f>VLOOKUP(Tabulka591215[[#This Row],[Tým]],Tabulka59121521[[Tým]:[Body]],4,FALSE)</f>
        <v>19</v>
      </c>
      <c r="AL8" s="39">
        <f>Tabulka591215[[#This Row],[Umístění]]</f>
        <v>5</v>
      </c>
      <c r="AP8" s="1"/>
    </row>
    <row r="9" spans="1:42" ht="24.95" customHeight="1" x14ac:dyDescent="0.4">
      <c r="B9" s="129">
        <v>8</v>
      </c>
      <c r="C9" s="149">
        <f>IF(Tabulka171013[[#This Row],[ ]]="","",IF(Tabulka171013[[#This Row],[ ]]="NEÚČAST","",IF(OR(Tabulka171013[Výsledný čas]="N",Tabulka171013[Výsledný čas]="D"),$L$4-$L$5,_xlfn.RANK.EQ(Tabulka171013[[#This Row],[ ]],Tabulka171013[[ ]],1))))</f>
        <v>6</v>
      </c>
      <c r="D9" s="127" t="s">
        <v>91</v>
      </c>
      <c r="E9" s="120">
        <v>15.85</v>
      </c>
      <c r="F9" s="120">
        <v>16.047000000000001</v>
      </c>
      <c r="G9" s="150">
        <f>IF(OR(Tabulka171013[[#This Row],[LP]]="N",Tabulka171013[[#This Row],[PP]]="N"),"N",IF(OR(Tabulka171013[[#This Row],[LP]]="D",Tabulka171013[[#This Row],[PP]]="D"),"D",IF(OR(Tabulka171013[[#This Row],[LP]]="NEÚČAST",Tabulka171013[[#This Row],[PP]]="NEÚČAST"),"NEÚČAST",IF(OR(Tabulka171013[[#This Row],[LP]]="",Tabulka171013[[#This Row],[PP]]=""),"",MAX(Tabulka171013[[#This Row],[LP]:[PP]])))))</f>
        <v>16.047000000000001</v>
      </c>
      <c r="H9" s="149">
        <f>COUNTIF(Tabulka171013[[#This Row],[Tým]],"*")</f>
        <v>1</v>
      </c>
      <c r="I9" s="149">
        <f>COUNTIF(Tabulka171013[[#This Row],[Výsledný čas]],"NEÚČAST")</f>
        <v>0</v>
      </c>
      <c r="J9" s="1">
        <f>IF(Tabulka171013[[#This Row],[Výsledný čas]]="N",998,IF(Tabulka171013[[#This Row],[Výsledný čas]]="D",998,IF(Tabulka171013[[#This Row],[Výsledný čas]]="","",Tabulka171013[[#This Row],[Výsledný čas]])))</f>
        <v>16.047000000000001</v>
      </c>
      <c r="N9" s="136">
        <v>25</v>
      </c>
      <c r="O9" s="25">
        <f>IF(Tabulka1710136[[#This Row],[ ]]="","",IF(Tabulka1710136[[#This Row],[ ]]="NEÚČAST","",IF(OR(Tabulka1710136[Výsledný čas]="N",Tabulka1710136[Výsledný čas]="D"),$X$4-$X$5,_xlfn.RANK.EQ(Tabulka1710136[[#This Row],[ ]],Tabulka1710136[[ ]],1))))</f>
        <v>6</v>
      </c>
      <c r="P9" s="134" t="s">
        <v>15</v>
      </c>
      <c r="Q9" s="121">
        <v>20.643999999999998</v>
      </c>
      <c r="R9" s="121">
        <v>24.998999999999999</v>
      </c>
      <c r="S9" s="29">
        <f>IF(OR(Tabulka1710136[[#This Row],[LP]]="N",Tabulka1710136[[#This Row],[PP]]="N"),"N",IF(OR(Tabulka1710136[[#This Row],[LP]]="D",Tabulka1710136[[#This Row],[PP]]="D"),"D",IF(OR(Tabulka1710136[[#This Row],[LP]]="NEÚČAST",Tabulka1710136[[#This Row],[PP]]="NEÚČAST"),"NEÚČAST",IF(OR(Tabulka1710136[[#This Row],[LP]]="",Tabulka1710136[[#This Row],[PP]]=""),"",MAX(Tabulka1710136[[#This Row],[LP]:[PP]])))))</f>
        <v>24.998999999999999</v>
      </c>
      <c r="T9" s="88">
        <f>COUNTIF(Tabulka1710136[[#This Row],[Tým]],"*")</f>
        <v>1</v>
      </c>
      <c r="U9" s="88">
        <f>COUNTIF(Tabulka1710136[[#This Row],[Výsledný čas]],"NEÚČAST")</f>
        <v>0</v>
      </c>
      <c r="V9" s="88">
        <f>IF(Tabulka1710136[[#This Row],[Výsledný čas]]="N",998,IF(Tabulka1710136[[#This Row],[Výsledný čas]]="D",998,IF(Tabulka1710136[[#This Row],[Výsledný čas]]="","",Tabulka1710136[[#This Row],[Výsledný čas]])))</f>
        <v>24.998999999999999</v>
      </c>
      <c r="Z9" s="31">
        <f>IF(OR(Tabulka381114[Výsledný čas]="N",Tabulka381114[Výsledný čas]="D",Tabulka381114[Výsledný čas]="NEÚČAST"),Uvod!$E$4,_xlfn.RANK.EQ(Tabulka381114[[#This Row],[ ]],Tabulka381114[[ ]],1))</f>
        <v>6</v>
      </c>
      <c r="AA9" s="53" t="s">
        <v>22</v>
      </c>
      <c r="AB9" s="44">
        <f>VLOOKUP(Tabulka381114[[#This Row],[Tým]],Tabulka171013[[Tým]:[ ]],2,FALSE)</f>
        <v>16.454999999999998</v>
      </c>
      <c r="AC9" s="44">
        <f>VLOOKUP(Tabulka381114[[#This Row],[Tým]],Tabulka171013[[Tým]:[ ]],3,FALSE)</f>
        <v>16.506</v>
      </c>
      <c r="AD9" s="25">
        <f>VLOOKUP(Tabulka381114[[#This Row],[Tým]],Tabulka171013[[Tým]:[ ]],4,FALSE)</f>
        <v>16.506</v>
      </c>
      <c r="AE9" s="25">
        <f>VLOOKUP(Tabulka381114[[#This Row],[Tým]],Tabulka171013[[Tým]:[ ]],7,FALSE)</f>
        <v>16.506</v>
      </c>
      <c r="AF9" s="29">
        <f>IF(Tabulka381114[[#This Row],[Výsledný čas]]="N",5,IF(Tabulka381114[[#This Row],[Výsledný čas]]="D",0,IF(Tabulka381114[[#This Row],[Výsledný čas]]="NEÚČAST",0,Tabulka4[[#Totals],[Týmy muži]]+6-Tabulka381114[[#This Row],[Umístění]])))</f>
        <v>19</v>
      </c>
      <c r="AH9" s="31">
        <f>_xlfn.RANK.EQ(Tabulka591215[[#This Row],[Body]],Tabulka591215[Body],0)</f>
        <v>5</v>
      </c>
      <c r="AI9" s="53" t="s">
        <v>10</v>
      </c>
      <c r="AJ9" s="188">
        <f>VLOOKUP(Tabulka591215[[#This Row],[Tým]],Tabulka381114[[Tým]:[Body]],6,FALSE)+Tabulka591215[[#This Row],[ ]]</f>
        <v>36</v>
      </c>
      <c r="AK9" s="82">
        <f>VLOOKUP(Tabulka591215[[#This Row],[Tým]],Tabulka59121521[[Tým]:[Body]],4,FALSE)</f>
        <v>18</v>
      </c>
      <c r="AL9" s="39">
        <f>Tabulka591215[[#This Row],[Umístění]]</f>
        <v>5</v>
      </c>
      <c r="AP9" s="1"/>
    </row>
    <row r="10" spans="1:42" ht="24.95" customHeight="1" x14ac:dyDescent="0.4">
      <c r="B10" s="129">
        <v>6</v>
      </c>
      <c r="C10" s="149">
        <f>IF(Tabulka171013[[#This Row],[ ]]="","",IF(Tabulka171013[[#This Row],[ ]]="NEÚČAST","",IF(OR(Tabulka171013[Výsledný čas]="N",Tabulka171013[Výsledný čas]="D"),$L$4-$L$5,_xlfn.RANK.EQ(Tabulka171013[[#This Row],[ ]],Tabulka171013[[ ]],1))))</f>
        <v>7</v>
      </c>
      <c r="D10" s="127" t="s">
        <v>20</v>
      </c>
      <c r="E10" s="126">
        <v>14.895</v>
      </c>
      <c r="F10" s="120">
        <v>16.152000000000001</v>
      </c>
      <c r="G10" s="150">
        <f>IF(OR(Tabulka171013[[#This Row],[LP]]="N",Tabulka171013[[#This Row],[PP]]="N"),"N",IF(OR(Tabulka171013[[#This Row],[LP]]="D",Tabulka171013[[#This Row],[PP]]="D"),"D",IF(OR(Tabulka171013[[#This Row],[LP]]="NEÚČAST",Tabulka171013[[#This Row],[PP]]="NEÚČAST"),"NEÚČAST",IF(OR(Tabulka171013[[#This Row],[LP]]="",Tabulka171013[[#This Row],[PP]]=""),"",MAX(Tabulka171013[[#This Row],[LP]:[PP]])))))</f>
        <v>16.152000000000001</v>
      </c>
      <c r="H10" s="149">
        <f>COUNTIF(Tabulka171013[[#This Row],[Tým]],"*")</f>
        <v>1</v>
      </c>
      <c r="I10" s="149">
        <f>COUNTIF(Tabulka171013[[#This Row],[Výsledný čas]],"NEÚČAST")</f>
        <v>0</v>
      </c>
      <c r="J10" s="1">
        <f>IF(Tabulka171013[[#This Row],[Výsledný čas]]="N",998,IF(Tabulka171013[[#This Row],[Výsledný čas]]="D",998,IF(Tabulka171013[[#This Row],[Výsledný čas]]="","",Tabulka171013[[#This Row],[Výsledný čas]])))</f>
        <v>16.152000000000001</v>
      </c>
      <c r="N10" s="137">
        <v>17</v>
      </c>
      <c r="O10" s="25">
        <f>IF(Tabulka1710136[[#This Row],[ ]]="","",IF(Tabulka1710136[[#This Row],[ ]]="NEÚČAST","",IF(OR(Tabulka1710136[Výsledný čas]="N",Tabulka1710136[Výsledný čas]="D"),$X$4-$X$5,_xlfn.RANK.EQ(Tabulka1710136[[#This Row],[ ]],Tabulka1710136[[ ]],1))))</f>
        <v>7</v>
      </c>
      <c r="P10" s="135" t="s">
        <v>19</v>
      </c>
      <c r="Q10" s="122">
        <v>28.719000000000001</v>
      </c>
      <c r="R10" s="122">
        <v>19.059000000000001</v>
      </c>
      <c r="S10" s="29">
        <f>IF(OR(Tabulka1710136[[#This Row],[LP]]="N",Tabulka1710136[[#This Row],[PP]]="N"),"N",IF(OR(Tabulka1710136[[#This Row],[LP]]="D",Tabulka1710136[[#This Row],[PP]]="D"),"D",IF(OR(Tabulka1710136[[#This Row],[LP]]="NEÚČAST",Tabulka1710136[[#This Row],[PP]]="NEÚČAST"),"NEÚČAST",IF(OR(Tabulka1710136[[#This Row],[LP]]="",Tabulka1710136[[#This Row],[PP]]=""),"",MAX(Tabulka1710136[[#This Row],[LP]:[PP]])))))</f>
        <v>28.719000000000001</v>
      </c>
      <c r="T10" s="88">
        <f>COUNTIF(Tabulka1710136[[#This Row],[Tým]],"*")</f>
        <v>1</v>
      </c>
      <c r="U10" s="88">
        <f>COUNTIF(Tabulka1710136[[#This Row],[Výsledný čas]],"NEÚČAST")</f>
        <v>0</v>
      </c>
      <c r="V10" s="88">
        <f>IF(Tabulka1710136[[#This Row],[Výsledný čas]]="N",998,IF(Tabulka1710136[[#This Row],[Výsledný čas]]="D",998,IF(Tabulka1710136[[#This Row],[Výsledný čas]]="","",Tabulka1710136[[#This Row],[Výsledný čas]])))</f>
        <v>28.719000000000001</v>
      </c>
      <c r="Z10" s="31">
        <f>IF(OR(Tabulka381114[Výsledný čas]="N",Tabulka381114[Výsledný čas]="D",Tabulka381114[Výsledný čas]="NEÚČAST"),Uvod!$E$4,_xlfn.RANK.EQ(Tabulka381114[[#This Row],[ ]],Tabulka381114[[ ]],1))</f>
        <v>7</v>
      </c>
      <c r="AA10" s="53" t="s">
        <v>10</v>
      </c>
      <c r="AB10" s="44">
        <f>VLOOKUP(Tabulka381114[[#This Row],[Tým]],Tabulka171013[[Tým]:[ ]],2,FALSE)</f>
        <v>16.898</v>
      </c>
      <c r="AC10" s="44">
        <f>VLOOKUP(Tabulka381114[[#This Row],[Tým]],Tabulka171013[[Tým]:[ ]],3,FALSE)</f>
        <v>14.978999999999999</v>
      </c>
      <c r="AD10" s="25">
        <f>VLOOKUP(Tabulka381114[[#This Row],[Tým]],Tabulka171013[[Tým]:[ ]],4,FALSE)</f>
        <v>16.898</v>
      </c>
      <c r="AE10" s="25">
        <f>VLOOKUP(Tabulka381114[[#This Row],[Tým]],Tabulka171013[[Tým]:[ ]],7,FALSE)</f>
        <v>16.898</v>
      </c>
      <c r="AF10" s="29">
        <f>IF(Tabulka381114[[#This Row],[Výsledný čas]]="N",5,IF(Tabulka381114[[#This Row],[Výsledný čas]]="D",0,IF(Tabulka381114[[#This Row],[Výsledný čas]]="NEÚČAST",0,Tabulka4[[#Totals],[Týmy muži]]+6-Tabulka381114[[#This Row],[Umístění]])))</f>
        <v>18</v>
      </c>
      <c r="AH10" s="31">
        <f>_xlfn.RANK.EQ(Tabulka591215[[#This Row],[Body]],Tabulka591215[Body],0)</f>
        <v>7</v>
      </c>
      <c r="AI10" s="53" t="s">
        <v>16</v>
      </c>
      <c r="AJ10" s="188">
        <f>VLOOKUP(Tabulka591215[[#This Row],[Tým]],Tabulka381114[[Tým]:[Body]],6,FALSE)+Tabulka591215[[#This Row],[ ]]</f>
        <v>33</v>
      </c>
      <c r="AK10" s="82">
        <f>VLOOKUP(Tabulka591215[[#This Row],[Tým]],Tabulka59121521[[Tým]:[Body]],4,FALSE)</f>
        <v>13</v>
      </c>
      <c r="AL10" s="39">
        <f>Tabulka591215[[#This Row],[Umístění]]</f>
        <v>7</v>
      </c>
      <c r="AP10" s="1"/>
    </row>
    <row r="11" spans="1:42" ht="24.95" customHeight="1" x14ac:dyDescent="0.4">
      <c r="B11" s="129">
        <v>16</v>
      </c>
      <c r="C11" s="149">
        <f>IF(Tabulka171013[[#This Row],[ ]]="","",IF(Tabulka171013[[#This Row],[ ]]="NEÚČAST","",IF(OR(Tabulka171013[Výsledný čas]="N",Tabulka171013[Výsledný čas]="D"),$L$4-$L$5,_xlfn.RANK.EQ(Tabulka171013[[#This Row],[ ]],Tabulka171013[[ ]],1))))</f>
        <v>8</v>
      </c>
      <c r="D11" s="127" t="s">
        <v>23</v>
      </c>
      <c r="E11" s="122">
        <v>15.333</v>
      </c>
      <c r="F11" s="120">
        <v>16.170000000000002</v>
      </c>
      <c r="G11" s="150">
        <f>IF(OR(Tabulka171013[[#This Row],[LP]]="N",Tabulka171013[[#This Row],[PP]]="N"),"N",IF(OR(Tabulka171013[[#This Row],[LP]]="D",Tabulka171013[[#This Row],[PP]]="D"),"D",IF(OR(Tabulka171013[[#This Row],[LP]]="NEÚČAST",Tabulka171013[[#This Row],[PP]]="NEÚČAST"),"NEÚČAST",IF(OR(Tabulka171013[[#This Row],[LP]]="",Tabulka171013[[#This Row],[PP]]=""),"",MAX(Tabulka171013[[#This Row],[LP]:[PP]])))))</f>
        <v>16.170000000000002</v>
      </c>
      <c r="H11" s="149">
        <f>COUNTIF(Tabulka171013[[#This Row],[Tým]],"*")</f>
        <v>1</v>
      </c>
      <c r="I11" s="149">
        <f>COUNTIF(Tabulka171013[[#This Row],[Výsledný čas]],"NEÚČAST")</f>
        <v>0</v>
      </c>
      <c r="J11" s="1">
        <f>IF(Tabulka171013[[#This Row],[Výsledný čas]]="N",998,IF(Tabulka171013[[#This Row],[Výsledný čas]]="D",998,IF(Tabulka171013[[#This Row],[Výsledný čas]]="","",Tabulka171013[[#This Row],[Výsledný čas]])))</f>
        <v>16.170000000000002</v>
      </c>
      <c r="N11" s="133">
        <v>23</v>
      </c>
      <c r="O11" s="25">
        <f>IF(Tabulka1710136[[#This Row],[ ]]="","",IF(Tabulka1710136[[#This Row],[ ]]="NEÚČAST","",IF(OR(Tabulka1710136[Výsledný čas]="N",Tabulka1710136[Výsledný čas]="D"),$X$4-$X$5,_xlfn.RANK.EQ(Tabulka1710136[[#This Row],[ ]],Tabulka1710136[[ ]],1))))</f>
        <v>8</v>
      </c>
      <c r="P11" s="134" t="s">
        <v>23</v>
      </c>
      <c r="Q11" s="122">
        <v>40.090000000000003</v>
      </c>
      <c r="R11" s="122">
        <v>21.494</v>
      </c>
      <c r="S11" s="29">
        <f>IF(OR(Tabulka1710136[[#This Row],[LP]]="N",Tabulka1710136[[#This Row],[PP]]="N"),"N",IF(OR(Tabulka1710136[[#This Row],[LP]]="D",Tabulka1710136[[#This Row],[PP]]="D"),"D",IF(OR(Tabulka1710136[[#This Row],[LP]]="NEÚČAST",Tabulka1710136[[#This Row],[PP]]="NEÚČAST"),"NEÚČAST",IF(OR(Tabulka1710136[[#This Row],[LP]]="",Tabulka1710136[[#This Row],[PP]]=""),"",MAX(Tabulka1710136[[#This Row],[LP]:[PP]])))))</f>
        <v>40.090000000000003</v>
      </c>
      <c r="T11" s="88">
        <f>COUNTIF(Tabulka1710136[[#This Row],[Tým]],"*")</f>
        <v>1</v>
      </c>
      <c r="U11" s="88">
        <f>COUNTIF(Tabulka1710136[[#This Row],[Výsledný čas]],"NEÚČAST")</f>
        <v>0</v>
      </c>
      <c r="V11" s="88">
        <f>IF(Tabulka1710136[[#This Row],[Výsledný čas]]="N",998,IF(Tabulka1710136[[#This Row],[Výsledný čas]]="D",998,IF(Tabulka1710136[[#This Row],[Výsledný čas]]="","",Tabulka1710136[[#This Row],[Výsledný čas]])))</f>
        <v>40.090000000000003</v>
      </c>
      <c r="Z11" s="31">
        <f>IF(OR(Tabulka381114[Výsledný čas]="N",Tabulka381114[Výsledný čas]="D",Tabulka381114[Výsledný čas]="NEÚČAST"),Uvod!$E$4,_xlfn.RANK.EQ(Tabulka381114[[#This Row],[ ]],Tabulka381114[[ ]],1))</f>
        <v>8</v>
      </c>
      <c r="AA11" s="53" t="s">
        <v>15</v>
      </c>
      <c r="AB11" s="44">
        <f>VLOOKUP(Tabulka381114[[#This Row],[Tým]],Tabulka171013[[Tým]:[ ]],2,FALSE)</f>
        <v>17.059999999999999</v>
      </c>
      <c r="AC11" s="44">
        <f>VLOOKUP(Tabulka381114[[#This Row],[Tým]],Tabulka171013[[Tým]:[ ]],3,FALSE)</f>
        <v>16.765000000000001</v>
      </c>
      <c r="AD11" s="25">
        <f>VLOOKUP(Tabulka381114[[#This Row],[Tým]],Tabulka171013[[Tým]:[ ]],4,FALSE)</f>
        <v>17.059999999999999</v>
      </c>
      <c r="AE11" s="25">
        <f>VLOOKUP(Tabulka381114[[#This Row],[Tým]],Tabulka171013[[Tým]:[ ]],7,FALSE)</f>
        <v>17.059999999999999</v>
      </c>
      <c r="AF11" s="29">
        <f>IF(Tabulka381114[[#This Row],[Výsledný čas]]="N",5,IF(Tabulka381114[[#This Row],[Výsledný čas]]="D",0,IF(Tabulka381114[[#This Row],[Výsledný čas]]="NEÚČAST",0,Tabulka4[[#Totals],[Týmy muži]]+6-Tabulka381114[[#This Row],[Umístění]])))</f>
        <v>17</v>
      </c>
      <c r="AH11" s="31">
        <f>_xlfn.RANK.EQ(Tabulka591215[[#This Row],[Body]],Tabulka591215[Body],0)</f>
        <v>8</v>
      </c>
      <c r="AI11" s="53" t="s">
        <v>11</v>
      </c>
      <c r="AJ11" s="188">
        <f>VLOOKUP(Tabulka591215[[#This Row],[Tým]],Tabulka381114[[Tým]:[Body]],6,FALSE)+Tabulka591215[[#This Row],[ ]]</f>
        <v>30</v>
      </c>
      <c r="AK11" s="82">
        <f>VLOOKUP(Tabulka591215[[#This Row],[Tým]],Tabulka59121521[[Tým]:[Body]],4,FALSE)</f>
        <v>20</v>
      </c>
      <c r="AL11" s="39">
        <f>Tabulka591215[[#This Row],[Umístění]]</f>
        <v>8</v>
      </c>
      <c r="AP11" s="1"/>
    </row>
    <row r="12" spans="1:42" ht="24.95" customHeight="1" x14ac:dyDescent="0.4">
      <c r="B12" s="129">
        <v>4</v>
      </c>
      <c r="C12" s="149">
        <f>IF(Tabulka171013[[#This Row],[ ]]="","",IF(Tabulka171013[[#This Row],[ ]]="NEÚČAST","",IF(OR(Tabulka171013[Výsledný čas]="N",Tabulka171013[Výsledný čas]="D"),$L$4-$L$5,_xlfn.RANK.EQ(Tabulka171013[[#This Row],[ ]],Tabulka171013[[ ]],1))))</f>
        <v>9</v>
      </c>
      <c r="D12" s="127" t="s">
        <v>16</v>
      </c>
      <c r="E12" s="120">
        <v>16.308</v>
      </c>
      <c r="F12" s="120">
        <v>15.663</v>
      </c>
      <c r="G12" s="150">
        <f>IF(OR(Tabulka171013[[#This Row],[LP]]="N",Tabulka171013[[#This Row],[PP]]="N"),"N",IF(OR(Tabulka171013[[#This Row],[LP]]="D",Tabulka171013[[#This Row],[PP]]="D"),"D",IF(OR(Tabulka171013[[#This Row],[LP]]="NEÚČAST",Tabulka171013[[#This Row],[PP]]="NEÚČAST"),"NEÚČAST",IF(OR(Tabulka171013[[#This Row],[LP]]="",Tabulka171013[[#This Row],[PP]]=""),"",MAX(Tabulka171013[[#This Row],[LP]:[PP]])))))</f>
        <v>16.308</v>
      </c>
      <c r="H12" s="149">
        <f>COUNTIF(Tabulka171013[[#This Row],[Tým]],"*")</f>
        <v>1</v>
      </c>
      <c r="I12" s="149">
        <f>COUNTIF(Tabulka171013[[#This Row],[Výsledný čas]],"NEÚČAST")</f>
        <v>0</v>
      </c>
      <c r="J12" s="1">
        <f>IF(Tabulka171013[[#This Row],[Výsledný čas]]="N",998,IF(Tabulka171013[[#This Row],[Výsledný čas]]="D",998,IF(Tabulka171013[[#This Row],[Výsledný čas]]="","",Tabulka171013[[#This Row],[Výsledný čas]])))</f>
        <v>16.308</v>
      </c>
      <c r="N12" s="133">
        <v>18</v>
      </c>
      <c r="O12" s="25">
        <f>IF(Tabulka1710136[[#This Row],[ ]]="","",IF(Tabulka1710136[[#This Row],[ ]]="NEÚČAST","",IF(OR(Tabulka1710136[Výsledný čas]="N",Tabulka1710136[Výsledný čas]="D"),$X$4-$X$5,_xlfn.RANK.EQ(Tabulka1710136[[#This Row],[ ]],Tabulka1710136[[ ]],1))))</f>
        <v>9</v>
      </c>
      <c r="P12" s="134" t="s">
        <v>24</v>
      </c>
      <c r="Q12" s="122">
        <v>42.063000000000002</v>
      </c>
      <c r="R12" s="122">
        <v>43.447000000000003</v>
      </c>
      <c r="S12" s="29">
        <f>IF(OR(Tabulka1710136[[#This Row],[LP]]="N",Tabulka1710136[[#This Row],[PP]]="N"),"N",IF(OR(Tabulka1710136[[#This Row],[LP]]="D",Tabulka1710136[[#This Row],[PP]]="D"),"D",IF(OR(Tabulka1710136[[#This Row],[LP]]="NEÚČAST",Tabulka1710136[[#This Row],[PP]]="NEÚČAST"),"NEÚČAST",IF(OR(Tabulka1710136[[#This Row],[LP]]="",Tabulka1710136[[#This Row],[PP]]=""),"",MAX(Tabulka1710136[[#This Row],[LP]:[PP]])))))</f>
        <v>43.447000000000003</v>
      </c>
      <c r="T12" s="88">
        <f>COUNTIF(Tabulka1710136[[#This Row],[Tým]],"*")</f>
        <v>1</v>
      </c>
      <c r="U12" s="88">
        <f>COUNTIF(Tabulka1710136[[#This Row],[Výsledný čas]],"NEÚČAST")</f>
        <v>0</v>
      </c>
      <c r="V12" s="88">
        <f>IF(Tabulka1710136[[#This Row],[Výsledný čas]]="N",998,IF(Tabulka1710136[[#This Row],[Výsledný čas]]="D",998,IF(Tabulka1710136[[#This Row],[Výsledný čas]]="","",Tabulka1710136[[#This Row],[Výsledný čas]])))</f>
        <v>43.447000000000003</v>
      </c>
      <c r="Z12" s="31">
        <f>IF(OR(Tabulka381114[Výsledný čas]="N",Tabulka381114[Výsledný čas]="D",Tabulka381114[Výsledný čas]="NEÚČAST"),Uvod!$E$4,_xlfn.RANK.EQ(Tabulka381114[[#This Row],[ ]],Tabulka381114[[ ]],1))</f>
        <v>9</v>
      </c>
      <c r="AA12" s="53" t="s">
        <v>32</v>
      </c>
      <c r="AB12" s="44">
        <f>VLOOKUP(Tabulka381114[[#This Row],[Tým]],Tabulka171013[[Tým]:[ ]],2,FALSE)</f>
        <v>17.032</v>
      </c>
      <c r="AC12" s="44">
        <f>VLOOKUP(Tabulka381114[[#This Row],[Tým]],Tabulka171013[[Tým]:[ ]],3,FALSE)</f>
        <v>17.486999999999998</v>
      </c>
      <c r="AD12" s="25">
        <f>VLOOKUP(Tabulka381114[[#This Row],[Tým]],Tabulka171013[[Tým]:[ ]],4,FALSE)</f>
        <v>17.486999999999998</v>
      </c>
      <c r="AE12" s="25">
        <f>VLOOKUP(Tabulka381114[[#This Row],[Tým]],Tabulka171013[[Tým]:[ ]],7,FALSE)</f>
        <v>17.486999999999998</v>
      </c>
      <c r="AF12" s="29">
        <f>IF(Tabulka381114[[#This Row],[Výsledný čas]]="N",5,IF(Tabulka381114[[#This Row],[Výsledný čas]]="D",0,IF(Tabulka381114[[#This Row],[Výsledný čas]]="NEÚČAST",0,Tabulka4[[#Totals],[Týmy muži]]+6-Tabulka381114[[#This Row],[Umístění]])))</f>
        <v>16</v>
      </c>
      <c r="AH12" s="31">
        <f>_xlfn.RANK.EQ(Tabulka591215[[#This Row],[Body]],Tabulka591215[Body],0)</f>
        <v>9</v>
      </c>
      <c r="AI12" s="53" t="s">
        <v>31</v>
      </c>
      <c r="AJ12" s="188">
        <f>VLOOKUP(Tabulka591215[[#This Row],[Tým]],Tabulka381114[[Tým]:[Body]],6,FALSE)+Tabulka591215[[#This Row],[ ]]</f>
        <v>29</v>
      </c>
      <c r="AK12" s="82">
        <f>VLOOKUP(Tabulka591215[[#This Row],[Tým]],Tabulka59121521[[Tým]:[Body]],4,FALSE)</f>
        <v>14</v>
      </c>
      <c r="AL12" s="39">
        <f>Tabulka591215[[#This Row],[Umístění]]</f>
        <v>9</v>
      </c>
      <c r="AP12" s="1"/>
    </row>
    <row r="13" spans="1:42" ht="24.95" customHeight="1" x14ac:dyDescent="0.4">
      <c r="B13" s="129">
        <v>2</v>
      </c>
      <c r="C13" s="149">
        <f>IF(Tabulka171013[[#This Row],[ ]]="","",IF(Tabulka171013[[#This Row],[ ]]="NEÚČAST","",IF(OR(Tabulka171013[Výsledný čas]="N",Tabulka171013[Výsledný čas]="D"),$L$4-$L$5,_xlfn.RANK.EQ(Tabulka171013[[#This Row],[ ]],Tabulka171013[[ ]],1))))</f>
        <v>10</v>
      </c>
      <c r="D13" s="127" t="s">
        <v>22</v>
      </c>
      <c r="E13" s="120">
        <v>16.454999999999998</v>
      </c>
      <c r="F13" s="120">
        <v>16.506</v>
      </c>
      <c r="G13" s="150">
        <f>IF(OR(Tabulka171013[[#This Row],[LP]]="N",Tabulka171013[[#This Row],[PP]]="N"),"N",IF(OR(Tabulka171013[[#This Row],[LP]]="D",Tabulka171013[[#This Row],[PP]]="D"),"D",IF(OR(Tabulka171013[[#This Row],[LP]]="NEÚČAST",Tabulka171013[[#This Row],[PP]]="NEÚČAST"),"NEÚČAST",IF(OR(Tabulka171013[[#This Row],[LP]]="",Tabulka171013[[#This Row],[PP]]=""),"",MAX(Tabulka171013[[#This Row],[LP]:[PP]])))))</f>
        <v>16.506</v>
      </c>
      <c r="H13" s="149">
        <f>COUNTIF(Tabulka171013[[#This Row],[Tým]],"*")</f>
        <v>1</v>
      </c>
      <c r="I13" s="149">
        <f>COUNTIF(Tabulka171013[[#This Row],[Výsledný čas]],"NEÚČAST")</f>
        <v>0</v>
      </c>
      <c r="J13" s="1">
        <f>IF(Tabulka171013[[#This Row],[Výsledný čas]]="N",998,IF(Tabulka171013[[#This Row],[Výsledný čas]]="D",998,IF(Tabulka171013[[#This Row],[Výsledný čas]]="","",Tabulka171013[[#This Row],[Výsledný čas]])))</f>
        <v>16.506</v>
      </c>
      <c r="N13" s="133">
        <v>11</v>
      </c>
      <c r="O13" s="59">
        <f>IF(Tabulka1710136[[#This Row],[ ]]="","",IF(Tabulka1710136[[#This Row],[ ]]="NEÚČAST","",IF(OR(Tabulka1710136[Výsledný čas]="N",Tabulka1710136[Výsledný čas]="D"),$X$4-$X$5,_xlfn.RANK.EQ(Tabulka1710136[[#This Row],[ ]],Tabulka1710136[[ ]],1))))</f>
        <v>11</v>
      </c>
      <c r="P13" s="138" t="s">
        <v>16</v>
      </c>
      <c r="Q13" s="122">
        <v>35.795999999999999</v>
      </c>
      <c r="R13" s="122" t="s">
        <v>9</v>
      </c>
      <c r="S13" s="60" t="str">
        <f>IF(OR(Tabulka1710136[[#This Row],[LP]]="N",Tabulka1710136[[#This Row],[PP]]="N"),"N",IF(OR(Tabulka1710136[[#This Row],[LP]]="D",Tabulka1710136[[#This Row],[PP]]="D"),"D",IF(OR(Tabulka1710136[[#This Row],[LP]]="NEÚČAST",Tabulka1710136[[#This Row],[PP]]="NEÚČAST"),"NEÚČAST",IF(OR(Tabulka1710136[[#This Row],[LP]]="",Tabulka1710136[[#This Row],[PP]]=""),"",MAX(Tabulka1710136[[#This Row],[LP]:[PP]])))))</f>
        <v>N</v>
      </c>
      <c r="T13" s="99">
        <f>COUNTIF(Tabulka1710136[[#This Row],[Tým]],"*")</f>
        <v>1</v>
      </c>
      <c r="U13" s="99">
        <f>COUNTIF(Tabulka1710136[[#This Row],[Výsledný čas]],"NEÚČAST")</f>
        <v>0</v>
      </c>
      <c r="V13" s="99">
        <f>IF(Tabulka1710136[[#This Row],[Výsledný čas]]="N",998,IF(Tabulka1710136[[#This Row],[Výsledný čas]]="D",998,IF(Tabulka1710136[[#This Row],[Výsledný čas]]="","",Tabulka1710136[[#This Row],[Výsledný čas]])))</f>
        <v>998</v>
      </c>
      <c r="Z13" s="31">
        <f>IF(OR(Tabulka381114[Výsledný čas]="N",Tabulka381114[Výsledný čas]="D",Tabulka381114[Výsledný čas]="NEÚČAST"),Uvod!$E$4,_xlfn.RANK.EQ(Tabulka381114[[#This Row],[ ]],Tabulka381114[[ ]],1))</f>
        <v>10</v>
      </c>
      <c r="AA13" s="53" t="s">
        <v>31</v>
      </c>
      <c r="AB13" s="44">
        <f>VLOOKUP(Tabulka381114[[#This Row],[Tým]],Tabulka171013[[Tým]:[ ]],2,FALSE)</f>
        <v>16.298999999999999</v>
      </c>
      <c r="AC13" s="44">
        <f>VLOOKUP(Tabulka381114[[#This Row],[Tým]],Tabulka171013[[Tým]:[ ]],3,FALSE)</f>
        <v>17.811</v>
      </c>
      <c r="AD13" s="25">
        <f>VLOOKUP(Tabulka381114[[#This Row],[Tým]],Tabulka171013[[Tým]:[ ]],4,FALSE)</f>
        <v>17.811</v>
      </c>
      <c r="AE13" s="25">
        <f>VLOOKUP(Tabulka381114[[#This Row],[Tým]],Tabulka171013[[Tým]:[ ]],7,FALSE)</f>
        <v>17.811</v>
      </c>
      <c r="AF13" s="29">
        <f>IF(Tabulka381114[[#This Row],[Výsledný čas]]="N",5,IF(Tabulka381114[[#This Row],[Výsledný čas]]="D",0,IF(Tabulka381114[[#This Row],[Výsledný čas]]="NEÚČAST",0,Tabulka4[[#Totals],[Týmy muži]]+6-Tabulka381114[[#This Row],[Umístění]])))</f>
        <v>15</v>
      </c>
      <c r="AH13" s="31">
        <f>_xlfn.RANK.EQ(Tabulka591215[[#This Row],[Body]],Tabulka591215[Body],0)</f>
        <v>10</v>
      </c>
      <c r="AI13" s="53" t="s">
        <v>30</v>
      </c>
      <c r="AJ13" s="188">
        <f>VLOOKUP(Tabulka591215[[#This Row],[Tým]],Tabulka381114[[Tým]:[Body]],6,FALSE)+Tabulka591215[[#This Row],[ ]]</f>
        <v>28</v>
      </c>
      <c r="AK13" s="82">
        <f>VLOOKUP(Tabulka591215[[#This Row],[Tým]],Tabulka59121521[[Tým]:[Body]],4,FALSE)</f>
        <v>23</v>
      </c>
      <c r="AL13" s="39">
        <f>Tabulka591215[[#This Row],[Umístění]]</f>
        <v>10</v>
      </c>
      <c r="AP13" s="1"/>
    </row>
    <row r="14" spans="1:42" ht="24.95" customHeight="1" thickBot="1" x14ac:dyDescent="0.45">
      <c r="B14" s="144">
        <v>12</v>
      </c>
      <c r="C14" s="149">
        <f>IF(Tabulka171013[[#This Row],[ ]]="","",IF(Tabulka171013[[#This Row],[ ]]="NEÚČAST","",IF(OR(Tabulka171013[Výsledný čas]="N",Tabulka171013[Výsledný čas]="D"),$L$4-$L$5,_xlfn.RANK.EQ(Tabulka171013[[#This Row],[ ]],Tabulka171013[[ ]],1))))</f>
        <v>11</v>
      </c>
      <c r="D14" s="130" t="s">
        <v>10</v>
      </c>
      <c r="E14" s="122">
        <v>16.898</v>
      </c>
      <c r="F14" s="122">
        <v>14.978999999999999</v>
      </c>
      <c r="G14" s="150">
        <f>IF(OR(Tabulka171013[[#This Row],[LP]]="N",Tabulka171013[[#This Row],[PP]]="N"),"N",IF(OR(Tabulka171013[[#This Row],[LP]]="D",Tabulka171013[[#This Row],[PP]]="D"),"D",IF(OR(Tabulka171013[[#This Row],[LP]]="NEÚČAST",Tabulka171013[[#This Row],[PP]]="NEÚČAST"),"NEÚČAST",IF(OR(Tabulka171013[[#This Row],[LP]]="",Tabulka171013[[#This Row],[PP]]=""),"",MAX(Tabulka171013[[#This Row],[LP]:[PP]])))))</f>
        <v>16.898</v>
      </c>
      <c r="H14" s="149">
        <f>COUNTIF(Tabulka171013[[#This Row],[Tým]],"*")</f>
        <v>1</v>
      </c>
      <c r="I14" s="149">
        <f>COUNTIF(Tabulka171013[[#This Row],[Výsledný čas]],"NEÚČAST")</f>
        <v>0</v>
      </c>
      <c r="J14" s="1">
        <f>IF(Tabulka171013[[#This Row],[Výsledný čas]]="N",998,IF(Tabulka171013[[#This Row],[Výsledný čas]]="D",998,IF(Tabulka171013[[#This Row],[Výsledný čas]]="","",Tabulka171013[[#This Row],[Výsledný čas]])))</f>
        <v>16.898</v>
      </c>
      <c r="N14" s="139">
        <v>22</v>
      </c>
      <c r="O14" s="34">
        <f>IF(Tabulka1710136[[#This Row],[ ]]="","",IF(Tabulka1710136[[#This Row],[ ]]="NEÚČAST","",IF(OR(Tabulka1710136[Výsledný čas]="N",Tabulka1710136[Výsledný čas]="D"),$X$4-$X$5,_xlfn.RANK.EQ(Tabulka1710136[[#This Row],[ ]],Tabulka1710136[[ ]],1))))</f>
        <v>11</v>
      </c>
      <c r="P14" s="140" t="s">
        <v>96</v>
      </c>
      <c r="Q14" s="132" t="s">
        <v>9</v>
      </c>
      <c r="R14" s="132" t="s">
        <v>9</v>
      </c>
      <c r="S14" s="36" t="str">
        <f>IF(OR(Tabulka1710136[[#This Row],[LP]]="N",Tabulka1710136[[#This Row],[PP]]="N"),"N",IF(OR(Tabulka1710136[[#This Row],[LP]]="D",Tabulka1710136[[#This Row],[PP]]="D"),"D",IF(OR(Tabulka1710136[[#This Row],[LP]]="NEÚČAST",Tabulka1710136[[#This Row],[PP]]="NEÚČAST"),"NEÚČAST",IF(OR(Tabulka1710136[[#This Row],[LP]]="",Tabulka1710136[[#This Row],[PP]]=""),"",MAX(Tabulka1710136[[#This Row],[LP]:[PP]])))))</f>
        <v>N</v>
      </c>
      <c r="T14" s="36">
        <f>COUNTIF(Tabulka1710136[[#This Row],[Tým]],"*")</f>
        <v>1</v>
      </c>
      <c r="U14" s="36">
        <f>COUNTIF(Tabulka1710136[[#This Row],[Výsledný čas]],"NEÚČAST")</f>
        <v>0</v>
      </c>
      <c r="V14" s="36">
        <f>IF(Tabulka1710136[[#This Row],[Výsledný čas]]="N",998,IF(Tabulka1710136[[#This Row],[Výsledný čas]]="D",998,IF(Tabulka1710136[[#This Row],[Výsledný čas]]="","",Tabulka1710136[[#This Row],[Výsledný čas]])))</f>
        <v>998</v>
      </c>
      <c r="Z14" s="63">
        <f>IF(OR(Tabulka381114[Výsledný čas]="N",Tabulka381114[Výsledný čas]="D",Tabulka381114[Výsledný čas]="NEÚČAST"),Uvod!$E$4,_xlfn.RANK.EQ(Tabulka381114[[#This Row],[ ]],Tabulka381114[[ ]],1))</f>
        <v>11</v>
      </c>
      <c r="AA14" s="54" t="s">
        <v>17</v>
      </c>
      <c r="AB14" s="44">
        <f>VLOOKUP(Tabulka381114[[#This Row],[Tým]],Tabulka171013[[Tým]:[ ]],2,FALSE)</f>
        <v>17.065999999999999</v>
      </c>
      <c r="AC14" s="44">
        <f>VLOOKUP(Tabulka381114[[#This Row],[Tým]],Tabulka171013[[Tým]:[ ]],3,FALSE)</f>
        <v>18.664000000000001</v>
      </c>
      <c r="AD14" s="25">
        <f>VLOOKUP(Tabulka381114[[#This Row],[Tým]],Tabulka171013[[Tým]:[ ]],4,FALSE)</f>
        <v>18.664000000000001</v>
      </c>
      <c r="AE14" s="25">
        <f>VLOOKUP(Tabulka381114[[#This Row],[Tým]],Tabulka171013[[Tým]:[ ]],7,FALSE)</f>
        <v>18.664000000000001</v>
      </c>
      <c r="AF14" s="29">
        <f>IF(Tabulka381114[[#This Row],[Výsledný čas]]="N",5,IF(Tabulka381114[[#This Row],[Výsledný čas]]="D",0,IF(Tabulka381114[[#This Row],[Výsledný čas]]="NEÚČAST",0,Tabulka4[[#Totals],[Týmy muži]]+6-Tabulka381114[[#This Row],[Umístění]])))</f>
        <v>14</v>
      </c>
      <c r="AH14" s="31">
        <f>_xlfn.RANK.EQ(Tabulka591215[[#This Row],[Body]],Tabulka591215[Body],0)</f>
        <v>10</v>
      </c>
      <c r="AI14" s="53" t="s">
        <v>6</v>
      </c>
      <c r="AJ14" s="188">
        <f>VLOOKUP(Tabulka591215[[#This Row],[Tým]],Tabulka381114[[Tým]:[Body]],6,FALSE)+Tabulka591215[[#This Row],[ ]]</f>
        <v>28</v>
      </c>
      <c r="AK14" s="82">
        <f>VLOOKUP(Tabulka591215[[#This Row],[Tým]],Tabulka59121521[[Tým]:[Body]],4,FALSE)</f>
        <v>15</v>
      </c>
      <c r="AL14" s="39">
        <f>Tabulka591215[[#This Row],[Umístění]]</f>
        <v>10</v>
      </c>
      <c r="AP14" s="1"/>
    </row>
    <row r="15" spans="1:42" ht="24.95" customHeight="1" x14ac:dyDescent="0.4">
      <c r="B15" s="129">
        <v>20</v>
      </c>
      <c r="C15" s="149">
        <f>IF(Tabulka171013[[#This Row],[ ]]="","",IF(Tabulka171013[[#This Row],[ ]]="NEÚČAST","",IF(OR(Tabulka171013[Výsledný čas]="N",Tabulka171013[Výsledný čas]="D"),$L$4-$L$5,_xlfn.RANK.EQ(Tabulka171013[[#This Row],[ ]],Tabulka171013[[ ]],1))))</f>
        <v>12</v>
      </c>
      <c r="D15" s="145" t="s">
        <v>15</v>
      </c>
      <c r="E15" s="120">
        <v>17.059999999999999</v>
      </c>
      <c r="F15" s="120">
        <v>16.765000000000001</v>
      </c>
      <c r="G15" s="150">
        <f>IF(OR(Tabulka171013[[#This Row],[LP]]="N",Tabulka171013[[#This Row],[PP]]="N"),"N",IF(OR(Tabulka171013[[#This Row],[LP]]="D",Tabulka171013[[#This Row],[PP]]="D"),"D",IF(OR(Tabulka171013[[#This Row],[LP]]="NEÚČAST",Tabulka171013[[#This Row],[PP]]="NEÚČAST"),"NEÚČAST",IF(OR(Tabulka171013[[#This Row],[LP]]="",Tabulka171013[[#This Row],[PP]]=""),"",MAX(Tabulka171013[[#This Row],[LP]:[PP]])))))</f>
        <v>17.059999999999999</v>
      </c>
      <c r="H15" s="149">
        <f>COUNTIF(Tabulka171013[[#This Row],[Tým]],"*")</f>
        <v>1</v>
      </c>
      <c r="I15" s="149">
        <f>COUNTIF(Tabulka171013[[#This Row],[Výsledný čas]],"NEÚČAST")</f>
        <v>0</v>
      </c>
      <c r="J15" s="1">
        <f>IF(Tabulka171013[[#This Row],[Výsledný čas]]="N",998,IF(Tabulka171013[[#This Row],[Výsledný čas]]="D",998,IF(Tabulka171013[[#This Row],[Výsledný čas]]="","",Tabulka171013[[#This Row],[Výsledný čas]])))</f>
        <v>17.059999999999999</v>
      </c>
      <c r="N15" s="68"/>
      <c r="P15" s="53"/>
      <c r="Q15" s="53"/>
      <c r="R15" s="53"/>
      <c r="Z15" s="63">
        <f>IF(OR(Tabulka381114[Výsledný čas]="N",Tabulka381114[Výsledný čas]="D",Tabulka381114[Výsledný čas]="NEÚČAST"),Uvod!$E$4,_xlfn.RANK.EQ(Tabulka381114[[#This Row],[ ]],Tabulka381114[[ ]],1))</f>
        <v>12</v>
      </c>
      <c r="AA15" s="53" t="s">
        <v>6</v>
      </c>
      <c r="AB15" s="44">
        <f>VLOOKUP(Tabulka381114[[#This Row],[Tým]],Tabulka171013[[Tým]:[ ]],2,FALSE)</f>
        <v>20.907</v>
      </c>
      <c r="AC15" s="44">
        <f>VLOOKUP(Tabulka381114[[#This Row],[Tým]],Tabulka171013[[Tým]:[ ]],3,FALSE)</f>
        <v>19.806000000000001</v>
      </c>
      <c r="AD15" s="25">
        <f>VLOOKUP(Tabulka381114[[#This Row],[Tým]],Tabulka171013[[Tým]:[ ]],4,FALSE)</f>
        <v>20.907</v>
      </c>
      <c r="AE15" s="25">
        <f>VLOOKUP(Tabulka381114[[#This Row],[Tým]],Tabulka171013[[Tým]:[ ]],7,FALSE)</f>
        <v>20.907</v>
      </c>
      <c r="AF15" s="29">
        <f>IF(Tabulka381114[[#This Row],[Výsledný čas]]="N",5,IF(Tabulka381114[[#This Row],[Výsledný čas]]="D",0,IF(Tabulka381114[[#This Row],[Výsledný čas]]="NEÚČAST",0,Tabulka4[[#Totals],[Týmy muži]]+6-Tabulka381114[[#This Row],[Umístění]])))</f>
        <v>13</v>
      </c>
      <c r="AH15" s="31">
        <f>_xlfn.RANK.EQ(Tabulka591215[[#This Row],[Body]],Tabulka591215[Body],0)</f>
        <v>10</v>
      </c>
      <c r="AI15" s="53" t="s">
        <v>32</v>
      </c>
      <c r="AJ15" s="188">
        <f>VLOOKUP(Tabulka591215[[#This Row],[Tým]],Tabulka381114[[Tým]:[Body]],6,FALSE)+Tabulka591215[[#This Row],[ ]]</f>
        <v>28</v>
      </c>
      <c r="AK15" s="82">
        <f>VLOOKUP(Tabulka591215[[#This Row],[Tým]],Tabulka59121521[[Tým]:[Body]],4,FALSE)</f>
        <v>12</v>
      </c>
      <c r="AL15" s="39">
        <f>Tabulka591215[[#This Row],[Umístění]]</f>
        <v>10</v>
      </c>
      <c r="AP15" s="1"/>
    </row>
    <row r="16" spans="1:42" ht="24.95" customHeight="1" x14ac:dyDescent="0.4">
      <c r="B16" s="144">
        <v>37</v>
      </c>
      <c r="C16" s="149">
        <f>IF(Tabulka171013[[#This Row],[ ]]="","",IF(Tabulka171013[[#This Row],[ ]]="NEÚČAST","",IF(OR(Tabulka171013[Výsledný čas]="N",Tabulka171013[Výsledný čas]="D"),$L$4-$L$5,_xlfn.RANK.EQ(Tabulka171013[[#This Row],[ ]],Tabulka171013[[ ]],1))))</f>
        <v>13</v>
      </c>
      <c r="D16" s="127" t="s">
        <v>32</v>
      </c>
      <c r="E16" s="120">
        <v>17.032</v>
      </c>
      <c r="F16" s="120">
        <v>17.486999999999998</v>
      </c>
      <c r="G16" s="150">
        <f>IF(OR(Tabulka171013[[#This Row],[LP]]="N",Tabulka171013[[#This Row],[PP]]="N"),"N",IF(OR(Tabulka171013[[#This Row],[LP]]="D",Tabulka171013[[#This Row],[PP]]="D"),"D",IF(OR(Tabulka171013[[#This Row],[LP]]="NEÚČAST",Tabulka171013[[#This Row],[PP]]="NEÚČAST"),"NEÚČAST",IF(OR(Tabulka171013[[#This Row],[LP]]="",Tabulka171013[[#This Row],[PP]]=""),"",MAX(Tabulka171013[[#This Row],[LP]:[PP]])))))</f>
        <v>17.486999999999998</v>
      </c>
      <c r="H16" s="149">
        <f>COUNTIF(Tabulka171013[[#This Row],[Tým]],"*")</f>
        <v>1</v>
      </c>
      <c r="I16" s="149">
        <f>COUNTIF(Tabulka171013[[#This Row],[Výsledný čas]],"NEÚČAST")</f>
        <v>0</v>
      </c>
      <c r="J16" s="1">
        <f>IF(Tabulka171013[[#This Row],[Výsledný čas]]="N",998,IF(Tabulka171013[[#This Row],[Výsledný čas]]="D",998,IF(Tabulka171013[[#This Row],[Výsledný čas]]="","",Tabulka171013[[#This Row],[Výsledný čas]])))</f>
        <v>17.486999999999998</v>
      </c>
      <c r="N16" s="68"/>
      <c r="P16" s="7"/>
      <c r="Q16" s="8"/>
      <c r="R16" s="8"/>
      <c r="Z16" s="63">
        <f>IF(OR(Tabulka381114[Výsledný čas]="N",Tabulka381114[Výsledný čas]="D",Tabulka381114[Výsledný čas]="NEÚČAST"),Uvod!$E$4,_xlfn.RANK.EQ(Tabulka381114[[#This Row],[ ]],Tabulka381114[[ ]],1))</f>
        <v>13</v>
      </c>
      <c r="AA16" s="54" t="s">
        <v>33</v>
      </c>
      <c r="AB16" s="44">
        <f>VLOOKUP(Tabulka381114[[#This Row],[Tým]],Tabulka171013[[Tým]:[ ]],2,FALSE)</f>
        <v>21.626000000000001</v>
      </c>
      <c r="AC16" s="44">
        <f>VLOOKUP(Tabulka381114[[#This Row],[Tým]],Tabulka171013[[Tým]:[ ]],3,FALSE)</f>
        <v>21.417000000000002</v>
      </c>
      <c r="AD16" s="25">
        <f>VLOOKUP(Tabulka381114[[#This Row],[Tým]],Tabulka171013[[Tým]:[ ]],4,FALSE)</f>
        <v>21.626000000000001</v>
      </c>
      <c r="AE16" s="25">
        <f>VLOOKUP(Tabulka381114[[#This Row],[Tým]],Tabulka171013[[Tým]:[ ]],7,FALSE)</f>
        <v>21.626000000000001</v>
      </c>
      <c r="AF16" s="29">
        <f>IF(Tabulka381114[[#This Row],[Výsledný čas]]="N",5,IF(Tabulka381114[[#This Row],[Výsledný čas]]="D",0,IF(Tabulka381114[[#This Row],[Výsledný čas]]="NEÚČAST",0,Tabulka4[[#Totals],[Týmy muži]]+6-Tabulka381114[[#This Row],[Umístění]])))</f>
        <v>12</v>
      </c>
      <c r="AH16" s="31">
        <f>_xlfn.RANK.EQ(Tabulka591215[[#This Row],[Body]],Tabulka591215[Body],0)</f>
        <v>10</v>
      </c>
      <c r="AI16" s="54" t="s">
        <v>13</v>
      </c>
      <c r="AJ16" s="188">
        <f>VLOOKUP(Tabulka591215[[#This Row],[Tým]],Tabulka381114[[Tým]:[Body]],6,FALSE)+Tabulka591215[[#This Row],[ ]]</f>
        <v>28</v>
      </c>
      <c r="AK16" s="82">
        <f>VLOOKUP(Tabulka591215[[#This Row],[Tým]],Tabulka59121521[[Tým]:[Body]],4,FALSE)</f>
        <v>5</v>
      </c>
      <c r="AL16" s="39">
        <f>Tabulka591215[[#This Row],[Umístění]]</f>
        <v>10</v>
      </c>
      <c r="AP16" s="1"/>
    </row>
    <row r="17" spans="2:42" ht="24.95" customHeight="1" x14ac:dyDescent="0.4">
      <c r="B17" s="144">
        <v>39</v>
      </c>
      <c r="C17" s="149">
        <f>IF(Tabulka171013[[#This Row],[ ]]="","",IF(Tabulka171013[[#This Row],[ ]]="NEÚČAST","",IF(OR(Tabulka171013[Výsledný čas]="N",Tabulka171013[Výsledný čas]="D"),$L$4-$L$5,_xlfn.RANK.EQ(Tabulka171013[[#This Row],[ ]],Tabulka171013[[ ]],1))))</f>
        <v>14</v>
      </c>
      <c r="D17" s="127" t="s">
        <v>31</v>
      </c>
      <c r="E17" s="121">
        <v>16.298999999999999</v>
      </c>
      <c r="F17" s="121">
        <v>17.811</v>
      </c>
      <c r="G17" s="150">
        <f>IF(OR(Tabulka171013[[#This Row],[LP]]="N",Tabulka171013[[#This Row],[PP]]="N"),"N",IF(OR(Tabulka171013[[#This Row],[LP]]="D",Tabulka171013[[#This Row],[PP]]="D"),"D",IF(OR(Tabulka171013[[#This Row],[LP]]="NEÚČAST",Tabulka171013[[#This Row],[PP]]="NEÚČAST"),"NEÚČAST",IF(OR(Tabulka171013[[#This Row],[LP]]="",Tabulka171013[[#This Row],[PP]]=""),"",MAX(Tabulka171013[[#This Row],[LP]:[PP]])))))</f>
        <v>17.811</v>
      </c>
      <c r="H17" s="149">
        <f>COUNTIF(Tabulka171013[[#This Row],[Tým]],"*")</f>
        <v>1</v>
      </c>
      <c r="I17" s="149">
        <f>COUNTIF(Tabulka171013[[#This Row],[Výsledný čas]],"NEÚČAST")</f>
        <v>0</v>
      </c>
      <c r="J17" s="1">
        <f>IF(Tabulka171013[[#This Row],[Výsledný čas]]="N",998,IF(Tabulka171013[[#This Row],[Výsledný čas]]="D",998,IF(Tabulka171013[[#This Row],[Výsledný čas]]="","",Tabulka171013[[#This Row],[Výsledný čas]])))</f>
        <v>17.811</v>
      </c>
      <c r="N17" s="70"/>
      <c r="P17" s="7"/>
      <c r="Q17" s="8"/>
      <c r="R17" s="8"/>
      <c r="Z17" s="63">
        <f>IF(OR(Tabulka381114[Výsledný čas]="N",Tabulka381114[Výsledný čas]="D",Tabulka381114[Výsledný čas]="NEÚČAST"),Uvod!$E$4,_xlfn.RANK.EQ(Tabulka381114[[#This Row],[ ]],Tabulka381114[[ ]],1))</f>
        <v>14</v>
      </c>
      <c r="AA17" s="53" t="s">
        <v>25</v>
      </c>
      <c r="AB17" s="44">
        <f>VLOOKUP(Tabulka381114[[#This Row],[Tým]],Tabulka171013[[Tým]:[ ]],2,FALSE)</f>
        <v>20.888000000000002</v>
      </c>
      <c r="AC17" s="44">
        <f>VLOOKUP(Tabulka381114[[#This Row],[Tým]],Tabulka171013[[Tým]:[ ]],3,FALSE)</f>
        <v>22.111000000000001</v>
      </c>
      <c r="AD17" s="25">
        <f>VLOOKUP(Tabulka381114[[#This Row],[Tým]],Tabulka171013[[Tým]:[ ]],4,FALSE)</f>
        <v>22.111000000000001</v>
      </c>
      <c r="AE17" s="25">
        <f>VLOOKUP(Tabulka381114[[#This Row],[Tým]],Tabulka171013[[Tým]:[ ]],7,FALSE)</f>
        <v>22.111000000000001</v>
      </c>
      <c r="AF17" s="29">
        <f>IF(Tabulka381114[[#This Row],[Výsledný čas]]="N",5,IF(Tabulka381114[[#This Row],[Výsledný čas]]="D",0,IF(Tabulka381114[[#This Row],[Výsledný čas]]="NEÚČAST",0,Tabulka4[[#Totals],[Týmy muži]]+6-Tabulka381114[[#This Row],[Umístění]])))</f>
        <v>11</v>
      </c>
      <c r="AH17" s="31">
        <f>_xlfn.RANK.EQ(Tabulka591215[[#This Row],[Body]],Tabulka591215[Body],0)</f>
        <v>14</v>
      </c>
      <c r="AI17" s="53" t="s">
        <v>18</v>
      </c>
      <c r="AJ17" s="188">
        <f>VLOOKUP(Tabulka591215[[#This Row],[Tým]],Tabulka381114[[Tým]:[Body]],6,FALSE)+Tabulka591215[[#This Row],[ ]]</f>
        <v>22</v>
      </c>
      <c r="AK17" s="82">
        <f>VLOOKUP(Tabulka591215[[#This Row],[Tým]],Tabulka59121521[[Tým]:[Body]],4,FALSE)</f>
        <v>17</v>
      </c>
      <c r="AL17" s="39">
        <f>Tabulka591215[[#This Row],[Umístění]]</f>
        <v>14</v>
      </c>
      <c r="AP17" s="1"/>
    </row>
    <row r="18" spans="2:42" ht="24.95" customHeight="1" x14ac:dyDescent="0.4">
      <c r="B18" s="129">
        <v>19</v>
      </c>
      <c r="C18" s="149">
        <f>IF(Tabulka171013[[#This Row],[ ]]="","",IF(Tabulka171013[[#This Row],[ ]]="NEÚČAST","",IF(OR(Tabulka171013[Výsledný čas]="N",Tabulka171013[Výsledný čas]="D"),$L$4-$L$5,_xlfn.RANK.EQ(Tabulka171013[[#This Row],[ ]],Tabulka171013[[ ]],1))))</f>
        <v>15</v>
      </c>
      <c r="D18" s="127" t="s">
        <v>17</v>
      </c>
      <c r="E18" s="120">
        <v>17.065999999999999</v>
      </c>
      <c r="F18" s="120">
        <v>18.664000000000001</v>
      </c>
      <c r="G18" s="150">
        <f>IF(OR(Tabulka171013[[#This Row],[LP]]="N",Tabulka171013[[#This Row],[PP]]="N"),"N",IF(OR(Tabulka171013[[#This Row],[LP]]="D",Tabulka171013[[#This Row],[PP]]="D"),"D",IF(OR(Tabulka171013[[#This Row],[LP]]="NEÚČAST",Tabulka171013[[#This Row],[PP]]="NEÚČAST"),"NEÚČAST",IF(OR(Tabulka171013[[#This Row],[LP]]="",Tabulka171013[[#This Row],[PP]]=""),"",MAX(Tabulka171013[[#This Row],[LP]:[PP]])))))</f>
        <v>18.664000000000001</v>
      </c>
      <c r="H18" s="149">
        <f>COUNTIF(Tabulka171013[[#This Row],[Tým]],"*")</f>
        <v>1</v>
      </c>
      <c r="I18" s="149">
        <f>COUNTIF(Tabulka171013[[#This Row],[Výsledný čas]],"NEÚČAST")</f>
        <v>0</v>
      </c>
      <c r="J18" s="1">
        <f>IF(Tabulka171013[[#This Row],[Výsledný čas]]="N",998,IF(Tabulka171013[[#This Row],[Výsledný čas]]="D",998,IF(Tabulka171013[[#This Row],[Výsledný čas]]="","",Tabulka171013[[#This Row],[Výsledný čas]])))</f>
        <v>18.664000000000001</v>
      </c>
      <c r="P18" s="7"/>
      <c r="Q18" s="8"/>
      <c r="R18" s="8"/>
      <c r="Z18" s="63">
        <f>IF(OR(Tabulka381114[Výsledný čas]="N",Tabulka381114[Výsledný čas]="D",Tabulka381114[Výsledný čas]="NEÚČAST"),Uvod!$E$4,_xlfn.RANK.EQ(Tabulka381114[[#This Row],[ ]],Tabulka381114[[ ]],1))</f>
        <v>15</v>
      </c>
      <c r="AA18" s="53" t="s">
        <v>11</v>
      </c>
      <c r="AB18" s="44">
        <f>VLOOKUP(Tabulka381114[[#This Row],[Tým]],Tabulka171013[[Tým]:[ ]],2,FALSE)</f>
        <v>25.030999999999999</v>
      </c>
      <c r="AC18" s="44">
        <f>VLOOKUP(Tabulka381114[[#This Row],[Tým]],Tabulka171013[[Tým]:[ ]],3,FALSE)</f>
        <v>16.838999999999999</v>
      </c>
      <c r="AD18" s="25">
        <f>VLOOKUP(Tabulka381114[[#This Row],[Tým]],Tabulka171013[[Tým]:[ ]],4,FALSE)</f>
        <v>25.030999999999999</v>
      </c>
      <c r="AE18" s="25">
        <f>VLOOKUP(Tabulka381114[[#This Row],[Tým]],Tabulka171013[[Tým]:[ ]],7,FALSE)</f>
        <v>25.030999999999999</v>
      </c>
      <c r="AF18" s="29">
        <f>IF(Tabulka381114[[#This Row],[Výsledný čas]]="N",5,IF(Tabulka381114[[#This Row],[Výsledný čas]]="D",0,IF(Tabulka381114[[#This Row],[Výsledný čas]]="NEÚČAST",0,Tabulka4[[#Totals],[Týmy muži]]+6-Tabulka381114[[#This Row],[Umístění]])))</f>
        <v>10</v>
      </c>
      <c r="AH18" s="31">
        <f>_xlfn.RANK.EQ(Tabulka591215[[#This Row],[Body]],Tabulka591215[Body],0)</f>
        <v>14</v>
      </c>
      <c r="AI18" s="53" t="s">
        <v>25</v>
      </c>
      <c r="AJ18" s="188">
        <f>VLOOKUP(Tabulka591215[[#This Row],[Tým]],Tabulka381114[[Tým]:[Body]],6,FALSE)+Tabulka591215[[#This Row],[ ]]</f>
        <v>22</v>
      </c>
      <c r="AK18" s="82">
        <f>VLOOKUP(Tabulka591215[[#This Row],[Tým]],Tabulka59121521[[Tým]:[Body]],4,FALSE)</f>
        <v>11</v>
      </c>
      <c r="AL18" s="39">
        <f>Tabulka591215[[#This Row],[Umístění]]</f>
        <v>14</v>
      </c>
      <c r="AP18" s="1"/>
    </row>
    <row r="19" spans="2:42" ht="24.95" customHeight="1" x14ac:dyDescent="0.4">
      <c r="B19" s="144">
        <v>38</v>
      </c>
      <c r="C19" s="149">
        <f>IF(Tabulka171013[[#This Row],[ ]]="","",IF(Tabulka171013[[#This Row],[ ]]="NEÚČAST","",IF(OR(Tabulka171013[Výsledný čas]="N",Tabulka171013[Výsledný čas]="D"),$L$4-$L$5,_xlfn.RANK.EQ(Tabulka171013[[#This Row],[ ]],Tabulka171013[[ ]],1))))</f>
        <v>16</v>
      </c>
      <c r="D19" s="127" t="s">
        <v>6</v>
      </c>
      <c r="E19" s="121">
        <v>20.907</v>
      </c>
      <c r="F19" s="121">
        <v>19.806000000000001</v>
      </c>
      <c r="G19" s="150">
        <f>IF(OR(Tabulka171013[[#This Row],[LP]]="N",Tabulka171013[[#This Row],[PP]]="N"),"N",IF(OR(Tabulka171013[[#This Row],[LP]]="D",Tabulka171013[[#This Row],[PP]]="D"),"D",IF(OR(Tabulka171013[[#This Row],[LP]]="NEÚČAST",Tabulka171013[[#This Row],[PP]]="NEÚČAST"),"NEÚČAST",IF(OR(Tabulka171013[[#This Row],[LP]]="",Tabulka171013[[#This Row],[PP]]=""),"",MAX(Tabulka171013[[#This Row],[LP]:[PP]])))))</f>
        <v>20.907</v>
      </c>
      <c r="H19" s="149">
        <f>COUNTIF(Tabulka171013[[#This Row],[Tým]],"*")</f>
        <v>1</v>
      </c>
      <c r="I19" s="149">
        <f>COUNTIF(Tabulka171013[[#This Row],[Výsledný čas]],"NEÚČAST")</f>
        <v>0</v>
      </c>
      <c r="J19" s="1">
        <f>IF(Tabulka171013[[#This Row],[Výsledný čas]]="N",998,IF(Tabulka171013[[#This Row],[Výsledný čas]]="D",998,IF(Tabulka171013[[#This Row],[Výsledný čas]]="","",Tabulka171013[[#This Row],[Výsledný čas]])))</f>
        <v>20.907</v>
      </c>
      <c r="P19" s="7"/>
      <c r="Q19" s="8"/>
      <c r="R19" s="8"/>
      <c r="Z19" s="63">
        <f>IF(OR(Tabulka381114[Výsledný čas]="N",Tabulka381114[Výsledný čas]="D",Tabulka381114[Výsledný čas]="NEÚČAST"),Uvod!$E$4,_xlfn.RANK.EQ(Tabulka381114[[#This Row],[ ]],Tabulka381114[[ ]],1))</f>
        <v>16</v>
      </c>
      <c r="AA19" s="53" t="s">
        <v>24</v>
      </c>
      <c r="AB19" s="44">
        <f>VLOOKUP(Tabulka381114[[#This Row],[Tým]],Tabulka171013[[Tým]:[ ]],2,FALSE)</f>
        <v>24.866</v>
      </c>
      <c r="AC19" s="44">
        <f>VLOOKUP(Tabulka381114[[#This Row],[Tým]],Tabulka171013[[Tým]:[ ]],3,FALSE)</f>
        <v>25.106000000000002</v>
      </c>
      <c r="AD19" s="25">
        <f>VLOOKUP(Tabulka381114[[#This Row],[Tým]],Tabulka171013[[Tým]:[ ]],4,FALSE)</f>
        <v>25.106000000000002</v>
      </c>
      <c r="AE19" s="25">
        <f>VLOOKUP(Tabulka381114[[#This Row],[Tým]],Tabulka171013[[Tým]:[ ]],7,FALSE)</f>
        <v>25.106000000000002</v>
      </c>
      <c r="AF19" s="29">
        <f>IF(Tabulka381114[[#This Row],[Výsledný čas]]="N",5,IF(Tabulka381114[[#This Row],[Výsledný čas]]="D",0,IF(Tabulka381114[[#This Row],[Výsledný čas]]="NEÚČAST",0,Tabulka4[[#Totals],[Týmy muži]]+6-Tabulka381114[[#This Row],[Umístění]])))</f>
        <v>9</v>
      </c>
      <c r="AH19" s="31">
        <f>_xlfn.RANK.EQ(Tabulka591215[[#This Row],[Body]],Tabulka591215[Body],0)</f>
        <v>16</v>
      </c>
      <c r="AI19" s="54" t="s">
        <v>17</v>
      </c>
      <c r="AJ19" s="188">
        <f>VLOOKUP(Tabulka591215[[#This Row],[Tým]],Tabulka381114[[Tým]:[Body]],6,FALSE)+Tabulka591215[[#This Row],[ ]]</f>
        <v>19</v>
      </c>
      <c r="AK19" s="82">
        <f>VLOOKUP(Tabulka591215[[#This Row],[Tým]],Tabulka59121521[[Tým]:[Body]],4,FALSE)</f>
        <v>5</v>
      </c>
      <c r="AL19" s="39">
        <f>Tabulka591215[[#This Row],[Umístění]]</f>
        <v>16</v>
      </c>
      <c r="AP19" s="1"/>
    </row>
    <row r="20" spans="2:42" ht="24.95" customHeight="1" x14ac:dyDescent="0.4">
      <c r="B20" s="129">
        <v>24</v>
      </c>
      <c r="C20" s="149">
        <f>IF(Tabulka171013[[#This Row],[ ]]="","",IF(Tabulka171013[[#This Row],[ ]]="NEÚČAST","",IF(OR(Tabulka171013[Výsledný čas]="N",Tabulka171013[Výsledný čas]="D"),$L$4-$L$5,_xlfn.RANK.EQ(Tabulka171013[[#This Row],[ ]],Tabulka171013[[ ]],1))))</f>
        <v>17</v>
      </c>
      <c r="D20" s="127" t="s">
        <v>33</v>
      </c>
      <c r="E20" s="120">
        <v>21.626000000000001</v>
      </c>
      <c r="F20" s="120">
        <v>21.417000000000002</v>
      </c>
      <c r="G20" s="150">
        <f>IF(OR(Tabulka171013[[#This Row],[LP]]="N",Tabulka171013[[#This Row],[PP]]="N"),"N",IF(OR(Tabulka171013[[#This Row],[LP]]="D",Tabulka171013[[#This Row],[PP]]="D"),"D",IF(OR(Tabulka171013[[#This Row],[LP]]="NEÚČAST",Tabulka171013[[#This Row],[PP]]="NEÚČAST"),"NEÚČAST",IF(OR(Tabulka171013[[#This Row],[LP]]="",Tabulka171013[[#This Row],[PP]]=""),"",MAX(Tabulka171013[[#This Row],[LP]:[PP]])))))</f>
        <v>21.626000000000001</v>
      </c>
      <c r="H20" s="149">
        <f>COUNTIF(Tabulka171013[[#This Row],[Tým]],"*")</f>
        <v>1</v>
      </c>
      <c r="I20" s="149">
        <f>COUNTIF(Tabulka171013[[#This Row],[Výsledný čas]],"NEÚČAST")</f>
        <v>0</v>
      </c>
      <c r="J20" s="1">
        <f>IF(Tabulka171013[[#This Row],[Výsledný čas]]="N",998,IF(Tabulka171013[[#This Row],[Výsledný čas]]="D",998,IF(Tabulka171013[[#This Row],[Výsledný čas]]="","",Tabulka171013[[#This Row],[Výsledný čas]])))</f>
        <v>21.626000000000001</v>
      </c>
      <c r="N20" s="68"/>
      <c r="P20" s="10"/>
      <c r="Q20" s="8"/>
      <c r="R20" s="8"/>
      <c r="Z20" s="63">
        <f>IF(OR(Tabulka381114[Výsledný čas]="N",Tabulka381114[Výsledný čas]="D",Tabulka381114[Výsledný čas]="NEÚČAST"),Uvod!$E$4,_xlfn.RANK.EQ(Tabulka381114[[#This Row],[ ]],Tabulka381114[[ ]],1))</f>
        <v>17</v>
      </c>
      <c r="AA20" s="53" t="s">
        <v>14</v>
      </c>
      <c r="AB20" s="44">
        <f>VLOOKUP(Tabulka381114[[#This Row],[Tým]],Tabulka171013[[Tým]:[ ]],2,FALSE)</f>
        <v>28.811</v>
      </c>
      <c r="AC20" s="44">
        <f>VLOOKUP(Tabulka381114[[#This Row],[Tým]],Tabulka171013[[Tým]:[ ]],3,FALSE)</f>
        <v>28.379000000000001</v>
      </c>
      <c r="AD20" s="25">
        <f>VLOOKUP(Tabulka381114[[#This Row],[Tým]],Tabulka171013[[Tým]:[ ]],4,FALSE)</f>
        <v>28.811</v>
      </c>
      <c r="AE20" s="25">
        <f>VLOOKUP(Tabulka381114[[#This Row],[Tým]],Tabulka171013[[Tým]:[ ]],7,FALSE)</f>
        <v>28.811</v>
      </c>
      <c r="AF20" s="29">
        <f>IF(Tabulka381114[[#This Row],[Výsledný čas]]="N",5,IF(Tabulka381114[[#This Row],[Výsledný čas]]="D",0,IF(Tabulka381114[[#This Row],[Výsledný čas]]="NEÚČAST",0,Tabulka4[[#Totals],[Týmy muži]]+6-Tabulka381114[[#This Row],[Umístění]])))</f>
        <v>8</v>
      </c>
      <c r="AH20" s="31">
        <f>_xlfn.RANK.EQ(Tabulka591215[[#This Row],[Body]],Tabulka591215[Body],0)</f>
        <v>17</v>
      </c>
      <c r="AI20" s="53" t="s">
        <v>14</v>
      </c>
      <c r="AJ20" s="188">
        <f>VLOOKUP(Tabulka591215[[#This Row],[Tým]],Tabulka381114[[Tým]:[Body]],6,FALSE)+Tabulka591215[[#This Row],[ ]]</f>
        <v>18</v>
      </c>
      <c r="AK20" s="82">
        <f>VLOOKUP(Tabulka591215[[#This Row],[Tým]],Tabulka59121521[[Tým]:[Body]],4,FALSE)</f>
        <v>10</v>
      </c>
      <c r="AL20" s="39">
        <f>Tabulka591215[[#This Row],[Umístění]]</f>
        <v>17</v>
      </c>
      <c r="AP20" s="1"/>
    </row>
    <row r="21" spans="2:42" ht="24.95" customHeight="1" x14ac:dyDescent="0.4">
      <c r="B21" s="129">
        <v>34</v>
      </c>
      <c r="C21" s="149">
        <f>IF(Tabulka171013[[#This Row],[ ]]="","",IF(Tabulka171013[[#This Row],[ ]]="NEÚČAST","",IF(OR(Tabulka171013[Výsledný čas]="N",Tabulka171013[Výsledný čas]="D"),$L$4-$L$5,_xlfn.RANK.EQ(Tabulka171013[[#This Row],[ ]],Tabulka171013[[ ]],1))))</f>
        <v>18</v>
      </c>
      <c r="D21" s="130" t="s">
        <v>92</v>
      </c>
      <c r="E21" s="120">
        <v>18.577000000000002</v>
      </c>
      <c r="F21" s="120">
        <v>21.917999999999999</v>
      </c>
      <c r="G21" s="150">
        <f>IF(OR(Tabulka171013[[#This Row],[LP]]="N",Tabulka171013[[#This Row],[PP]]="N"),"N",IF(OR(Tabulka171013[[#This Row],[LP]]="D",Tabulka171013[[#This Row],[PP]]="D"),"D",IF(OR(Tabulka171013[[#This Row],[LP]]="NEÚČAST",Tabulka171013[[#This Row],[PP]]="NEÚČAST"),"NEÚČAST",IF(OR(Tabulka171013[[#This Row],[LP]]="",Tabulka171013[[#This Row],[PP]]=""),"",MAX(Tabulka171013[[#This Row],[LP]:[PP]])))))</f>
        <v>21.917999999999999</v>
      </c>
      <c r="H21" s="149">
        <f>COUNTIF(Tabulka171013[[#This Row],[Tým]],"*")</f>
        <v>1</v>
      </c>
      <c r="I21" s="149">
        <f>COUNTIF(Tabulka171013[[#This Row],[Výsledný čas]],"NEÚČAST")</f>
        <v>0</v>
      </c>
      <c r="J21" s="1">
        <f>IF(Tabulka171013[[#This Row],[Výsledný čas]]="N",998,IF(Tabulka171013[[#This Row],[Výsledný čas]]="D",998,IF(Tabulka171013[[#This Row],[Výsledný čas]]="","",Tabulka171013[[#This Row],[Výsledný čas]])))</f>
        <v>21.917999999999999</v>
      </c>
      <c r="N21" s="70"/>
      <c r="P21" s="10"/>
      <c r="Q21" s="8"/>
      <c r="R21" s="8"/>
      <c r="Z21" s="63">
        <f>IF(OR(Tabulka381114[Výsledný čas]="N",Tabulka381114[Výsledný čas]="D",Tabulka381114[Výsledný čas]="NEÚČAST"),Uvod!$E$4,_xlfn.RANK.EQ(Tabulka381114[[#This Row],[ ]],Tabulka381114[[ ]],1))</f>
        <v>19</v>
      </c>
      <c r="AA21" s="53" t="s">
        <v>30</v>
      </c>
      <c r="AB21" s="44" t="str">
        <f>VLOOKUP(Tabulka381114[[#This Row],[Tým]],Tabulka171013[[Tým]:[ ]],2,FALSE)</f>
        <v>N</v>
      </c>
      <c r="AC21" s="44">
        <f>VLOOKUP(Tabulka381114[[#This Row],[Tým]],Tabulka171013[[Tým]:[ ]],3,FALSE)</f>
        <v>16.010999999999999</v>
      </c>
      <c r="AD21" s="25" t="str">
        <f>VLOOKUP(Tabulka381114[[#This Row],[Tým]],Tabulka171013[[Tým]:[ ]],4,FALSE)</f>
        <v>N</v>
      </c>
      <c r="AE21" s="25">
        <f>VLOOKUP(Tabulka381114[[#This Row],[Tým]],Tabulka171013[[Tým]:[ ]],7,FALSE)</f>
        <v>998</v>
      </c>
      <c r="AF21" s="29">
        <f>IF(Tabulka381114[[#This Row],[Výsledný čas]]="N",5,IF(Tabulka381114[[#This Row],[Výsledný čas]]="D",0,IF(Tabulka381114[[#This Row],[Výsledný čas]]="NEÚČAST",0,Tabulka4[[#Totals],[Týmy muži]]+6-Tabulka381114[[#This Row],[Umístění]])))</f>
        <v>5</v>
      </c>
      <c r="AH21" s="31">
        <f>_xlfn.RANK.EQ(Tabulka591215[[#This Row],[Body]],Tabulka591215[Body],0)</f>
        <v>18</v>
      </c>
      <c r="AI21" s="54" t="s">
        <v>33</v>
      </c>
      <c r="AJ21" s="188">
        <f>VLOOKUP(Tabulka591215[[#This Row],[Tým]],Tabulka381114[[Tým]:[Body]],6,FALSE)+Tabulka591215[[#This Row],[ ]]</f>
        <v>17</v>
      </c>
      <c r="AK21" s="82">
        <f>VLOOKUP(Tabulka591215[[#This Row],[Tým]],Tabulka59121521[[Tým]:[Body]],4,FALSE)</f>
        <v>5</v>
      </c>
      <c r="AL21" s="39">
        <f>Tabulka591215[[#This Row],[Umístění]]</f>
        <v>18</v>
      </c>
      <c r="AP21" s="1"/>
    </row>
    <row r="22" spans="2:42" ht="24.95" customHeight="1" thickBot="1" x14ac:dyDescent="0.45">
      <c r="B22" s="144">
        <v>3</v>
      </c>
      <c r="C22" s="149">
        <f>IF(Tabulka171013[[#This Row],[ ]]="","",IF(Tabulka171013[[#This Row],[ ]]="NEÚČAST","",IF(OR(Tabulka171013[Výsledný čas]="N",Tabulka171013[Výsledný čas]="D"),$L$4-$L$5,_xlfn.RANK.EQ(Tabulka171013[[#This Row],[ ]],Tabulka171013[[ ]],1))))</f>
        <v>19</v>
      </c>
      <c r="D22" s="127" t="s">
        <v>25</v>
      </c>
      <c r="E22" s="122">
        <v>20.888000000000002</v>
      </c>
      <c r="F22" s="120">
        <v>22.111000000000001</v>
      </c>
      <c r="G22" s="150">
        <f>IF(OR(Tabulka171013[[#This Row],[LP]]="N",Tabulka171013[[#This Row],[PP]]="N"),"N",IF(OR(Tabulka171013[[#This Row],[LP]]="D",Tabulka171013[[#This Row],[PP]]="D"),"D",IF(OR(Tabulka171013[[#This Row],[LP]]="NEÚČAST",Tabulka171013[[#This Row],[PP]]="NEÚČAST"),"NEÚČAST",IF(OR(Tabulka171013[[#This Row],[LP]]="",Tabulka171013[[#This Row],[PP]]=""),"",MAX(Tabulka171013[[#This Row],[LP]:[PP]])))))</f>
        <v>22.111000000000001</v>
      </c>
      <c r="H22" s="149">
        <f>COUNTIF(Tabulka171013[[#This Row],[Tým]],"*")</f>
        <v>1</v>
      </c>
      <c r="I22" s="149">
        <f>COUNTIF(Tabulka171013[[#This Row],[Výsledný čas]],"NEÚČAST")</f>
        <v>0</v>
      </c>
      <c r="J22" s="1">
        <f>IF(Tabulka171013[[#This Row],[Výsledný čas]]="N",998,IF(Tabulka171013[[#This Row],[Výsledný čas]]="D",998,IF(Tabulka171013[[#This Row],[Výsledný čas]]="","",Tabulka171013[[#This Row],[Výsledný čas]])))</f>
        <v>22.111000000000001</v>
      </c>
      <c r="P22" s="10"/>
      <c r="Q22" s="8"/>
      <c r="R22" s="8"/>
      <c r="Z22" s="64">
        <f>IF(OR(Tabulka381114[Výsledný čas]="N",Tabulka381114[Výsledný čas]="D",Tabulka381114[Výsledný čas]="NEÚČAST"),Uvod!$E$4,_xlfn.RANK.EQ(Tabulka381114[[#This Row],[ ]],Tabulka381114[[ ]],1))</f>
        <v>19</v>
      </c>
      <c r="AA22" s="87" t="s">
        <v>18</v>
      </c>
      <c r="AB22" s="45" t="str">
        <f>VLOOKUP(Tabulka381114[[#This Row],[Tým]],Tabulka171013[[Tým]:[ ]],2,FALSE)</f>
        <v>N</v>
      </c>
      <c r="AC22" s="45" t="str">
        <f>VLOOKUP(Tabulka381114[[#This Row],[Tým]],Tabulka171013[[Tým]:[ ]],3,FALSE)</f>
        <v>N</v>
      </c>
      <c r="AD22" s="34" t="str">
        <f>VLOOKUP(Tabulka381114[[#This Row],[Tým]],Tabulka171013[[Tým]:[ ]],4,FALSE)</f>
        <v>N</v>
      </c>
      <c r="AE22" s="34">
        <f>VLOOKUP(Tabulka381114[[#This Row],[Tým]],Tabulka171013[[Tým]:[ ]],7,FALSE)</f>
        <v>998</v>
      </c>
      <c r="AF22" s="36">
        <f>IF(Tabulka381114[[#This Row],[Výsledný čas]]="N",5,IF(Tabulka381114[[#This Row],[Výsledný čas]]="D",0,IF(Tabulka381114[[#This Row],[Výsledný čas]]="NEÚČAST",0,Tabulka4[[#Totals],[Týmy muži]]+6-Tabulka381114[[#This Row],[Umístění]])))</f>
        <v>5</v>
      </c>
      <c r="AH22" s="33">
        <f>_xlfn.RANK.EQ(Tabulka591215[[#This Row],[Body]],Tabulka591215[Body],0)</f>
        <v>19</v>
      </c>
      <c r="AI22" s="87" t="s">
        <v>24</v>
      </c>
      <c r="AJ22" s="189">
        <f>VLOOKUP(Tabulka591215[[#This Row],[Tým]],Tabulka381114[[Tým]:[Body]],6,FALSE)+Tabulka591215[[#This Row],[ ]]</f>
        <v>14</v>
      </c>
      <c r="AK22" s="83">
        <f>VLOOKUP(Tabulka591215[[#This Row],[Tým]],Tabulka59121521[[Tým]:[Body]],4,FALSE)</f>
        <v>5</v>
      </c>
      <c r="AL22" s="41">
        <f>Tabulka591215[[#This Row],[Umístění]]</f>
        <v>19</v>
      </c>
      <c r="AP22" s="1"/>
    </row>
    <row r="23" spans="2:42" ht="24.95" customHeight="1" x14ac:dyDescent="0.4">
      <c r="B23" s="129">
        <v>10</v>
      </c>
      <c r="C23" s="151">
        <f>IF(Tabulka171013[[#This Row],[ ]]="","",IF(Tabulka171013[[#This Row],[ ]]="NEÚČAST","",IF(OR(Tabulka171013[Výsledný čas]="N",Tabulka171013[Výsledný čas]="D"),$L$4-$L$5,_xlfn.RANK.EQ(Tabulka171013[[#This Row],[ ]],Tabulka171013[[ ]],1))))</f>
        <v>20</v>
      </c>
      <c r="D23" s="127" t="s">
        <v>11</v>
      </c>
      <c r="E23" s="120">
        <v>25.030999999999999</v>
      </c>
      <c r="F23" s="120">
        <v>16.838999999999999</v>
      </c>
      <c r="G23" s="152">
        <f>IF(OR(Tabulka171013[[#This Row],[LP]]="N",Tabulka171013[[#This Row],[PP]]="N"),"N",IF(OR(Tabulka171013[[#This Row],[LP]]="D",Tabulka171013[[#This Row],[PP]]="D"),"D",IF(OR(Tabulka171013[[#This Row],[LP]]="NEÚČAST",Tabulka171013[[#This Row],[PP]]="NEÚČAST"),"NEÚČAST",IF(OR(Tabulka171013[[#This Row],[LP]]="",Tabulka171013[[#This Row],[PP]]=""),"",MAX(Tabulka171013[[#This Row],[LP]:[PP]])))))</f>
        <v>25.030999999999999</v>
      </c>
      <c r="H23" s="149">
        <f>COUNTIF(Tabulka171013[[#This Row],[Tým]],"*")</f>
        <v>1</v>
      </c>
      <c r="I23" s="149">
        <f>COUNTIF(Tabulka171013[[#This Row],[Výsledný čas]],"NEÚČAST")</f>
        <v>0</v>
      </c>
      <c r="J23" s="1">
        <f>IF(Tabulka171013[[#This Row],[Výsledný čas]]="N",998,IF(Tabulka171013[[#This Row],[Výsledný čas]]="D",998,IF(Tabulka171013[[#This Row],[Výsledný čas]]="","",Tabulka171013[[#This Row],[Výsledný čas]])))</f>
        <v>25.030999999999999</v>
      </c>
      <c r="P23" s="10"/>
      <c r="Q23" s="8"/>
      <c r="R23" s="8"/>
      <c r="AA23" s="54"/>
      <c r="AB23" s="3"/>
      <c r="AC23" s="3"/>
    </row>
    <row r="24" spans="2:42" ht="24.95" customHeight="1" thickBot="1" x14ac:dyDescent="0.45">
      <c r="B24" s="144">
        <v>28</v>
      </c>
      <c r="C24" s="151">
        <f>IF(Tabulka171013[[#This Row],[ ]]="","",IF(Tabulka171013[[#This Row],[ ]]="NEÚČAST","",IF(OR(Tabulka171013[Výsledný čas]="N",Tabulka171013[Výsledný čas]="D"),$L$4-$L$5,_xlfn.RANK.EQ(Tabulka171013[[#This Row],[ ]],Tabulka171013[[ ]],1))))</f>
        <v>21</v>
      </c>
      <c r="D24" s="127" t="s">
        <v>24</v>
      </c>
      <c r="E24" s="120">
        <v>24.866</v>
      </c>
      <c r="F24" s="120">
        <v>25.106000000000002</v>
      </c>
      <c r="G24" s="152">
        <f>IF(OR(Tabulka171013[[#This Row],[LP]]="N",Tabulka171013[[#This Row],[PP]]="N"),"N",IF(OR(Tabulka171013[[#This Row],[LP]]="D",Tabulka171013[[#This Row],[PP]]="D"),"D",IF(OR(Tabulka171013[[#This Row],[LP]]="NEÚČAST",Tabulka171013[[#This Row],[PP]]="NEÚČAST"),"NEÚČAST",IF(OR(Tabulka171013[[#This Row],[LP]]="",Tabulka171013[[#This Row],[PP]]=""),"",MAX(Tabulka171013[[#This Row],[LP]:[PP]])))))</f>
        <v>25.106000000000002</v>
      </c>
      <c r="H24" s="149">
        <f>COUNTIF(Tabulka171013[[#This Row],[Tým]],"*")</f>
        <v>1</v>
      </c>
      <c r="I24" s="149">
        <f>COUNTIF(Tabulka171013[[#This Row],[Výsledný čas]],"NEÚČAST")</f>
        <v>0</v>
      </c>
      <c r="J24" s="1">
        <f>IF(Tabulka171013[[#This Row],[Výsledný čas]]="N",998,IF(Tabulka171013[[#This Row],[Výsledný čas]]="D",998,IF(Tabulka171013[[#This Row],[Výsledný čas]]="","",Tabulka171013[[#This Row],[Výsledný čas]])))</f>
        <v>25.106000000000002</v>
      </c>
      <c r="P24" s="10"/>
      <c r="Q24" s="8"/>
      <c r="R24" s="8"/>
      <c r="AB24" s="3"/>
      <c r="AC24" s="3"/>
    </row>
    <row r="25" spans="2:42" ht="24.95" customHeight="1" x14ac:dyDescent="0.4">
      <c r="B25" s="129">
        <v>27</v>
      </c>
      <c r="C25" s="151">
        <f>IF(Tabulka171013[[#This Row],[ ]]="","",IF(Tabulka171013[[#This Row],[ ]]="NEÚČAST","",IF(OR(Tabulka171013[Výsledný čas]="N",Tabulka171013[Výsledný čas]="D"),$L$4-$L$5,_xlfn.RANK.EQ(Tabulka171013[[#This Row],[ ]],Tabulka171013[[ ]],1))))</f>
        <v>22</v>
      </c>
      <c r="D25" s="127" t="s">
        <v>14</v>
      </c>
      <c r="E25" s="120">
        <v>28.811</v>
      </c>
      <c r="F25" s="121">
        <v>28.379000000000001</v>
      </c>
      <c r="G25" s="152">
        <f>IF(OR(Tabulka171013[[#This Row],[LP]]="N",Tabulka171013[[#This Row],[PP]]="N"),"N",IF(OR(Tabulka171013[[#This Row],[LP]]="D",Tabulka171013[[#This Row],[PP]]="D"),"D",IF(OR(Tabulka171013[[#This Row],[LP]]="NEÚČAST",Tabulka171013[[#This Row],[PP]]="NEÚČAST"),"NEÚČAST",IF(OR(Tabulka171013[[#This Row],[LP]]="",Tabulka171013[[#This Row],[PP]]=""),"",MAX(Tabulka171013[[#This Row],[LP]:[PP]])))))</f>
        <v>28.811</v>
      </c>
      <c r="H25" s="149">
        <f>COUNTIF(Tabulka171013[[#This Row],[Tým]],"*")</f>
        <v>1</v>
      </c>
      <c r="I25" s="149">
        <f>COUNTIF(Tabulka171013[[#This Row],[Výsledný čas]],"NEÚČAST")</f>
        <v>0</v>
      </c>
      <c r="J25" s="1">
        <f>IF(Tabulka171013[[#This Row],[Výsledný čas]]="N",998,IF(Tabulka171013[[#This Row],[Výsledný čas]]="D",998,IF(Tabulka171013[[#This Row],[Výsledný čas]]="","",Tabulka171013[[#This Row],[Výsledný čas]])))</f>
        <v>28.811</v>
      </c>
      <c r="N25" s="68"/>
      <c r="P25" s="7"/>
      <c r="Q25" s="8"/>
      <c r="R25" s="8"/>
      <c r="Z25" s="308" t="str">
        <f>N2</f>
        <v xml:space="preserve">Výsledky - Soutěže 2. kola NHHL 26.5. 2023 Svoboda - ŽENY </v>
      </c>
      <c r="AA25" s="309"/>
      <c r="AB25" s="309"/>
      <c r="AC25" s="309"/>
      <c r="AD25" s="309"/>
      <c r="AE25" s="309"/>
      <c r="AF25" s="310"/>
      <c r="AH25" s="308" t="str">
        <f>"Pořadí po "&amp;Uvod!A4&amp;" kole NHHL - ŽENY"</f>
        <v>Pořadí po 2. kole NHHL - ŽENY</v>
      </c>
      <c r="AI25" s="309"/>
      <c r="AJ25" s="309"/>
      <c r="AK25" s="310"/>
      <c r="AM25" s="15"/>
    </row>
    <row r="26" spans="2:42" ht="24.95" customHeight="1" thickBot="1" x14ac:dyDescent="0.45">
      <c r="B26" s="144">
        <v>36</v>
      </c>
      <c r="C26" s="151">
        <f>IF(Tabulka171013[[#This Row],[ ]]="","",IF(Tabulka171013[[#This Row],[ ]]="NEÚČAST","",IF(OR(Tabulka171013[Výsledný čas]="N",Tabulka171013[Výsledný čas]="D"),$L$4-$L$5,_xlfn.RANK.EQ(Tabulka171013[[#This Row],[ ]],Tabulka171013[[ ]],1))))</f>
        <v>23</v>
      </c>
      <c r="D26" s="127" t="s">
        <v>93</v>
      </c>
      <c r="E26" s="120">
        <v>36.704000000000001</v>
      </c>
      <c r="F26" s="120">
        <v>34.442</v>
      </c>
      <c r="G26" s="152">
        <f>IF(OR(Tabulka171013[[#This Row],[LP]]="N",Tabulka171013[[#This Row],[PP]]="N"),"N",IF(OR(Tabulka171013[[#This Row],[LP]]="D",Tabulka171013[[#This Row],[PP]]="D"),"D",IF(OR(Tabulka171013[[#This Row],[LP]]="NEÚČAST",Tabulka171013[[#This Row],[PP]]="NEÚČAST"),"NEÚČAST",IF(OR(Tabulka171013[[#This Row],[LP]]="",Tabulka171013[[#This Row],[PP]]=""),"",MAX(Tabulka171013[[#This Row],[LP]:[PP]])))))</f>
        <v>36.704000000000001</v>
      </c>
      <c r="H26" s="149">
        <f>COUNTIF(Tabulka171013[[#This Row],[Tým]],"*")</f>
        <v>1</v>
      </c>
      <c r="I26" s="149">
        <f>COUNTIF(Tabulka171013[[#This Row],[Výsledný čas]],"NEÚČAST")</f>
        <v>0</v>
      </c>
      <c r="J26" s="1">
        <f>IF(Tabulka171013[[#This Row],[Výsledný čas]]="N",998,IF(Tabulka171013[[#This Row],[Výsledný čas]]="D",998,IF(Tabulka171013[[#This Row],[Výsledný čas]]="","",Tabulka171013[[#This Row],[Výsledný čas]])))</f>
        <v>36.704000000000001</v>
      </c>
      <c r="N26" s="70"/>
      <c r="P26" s="7"/>
      <c r="Q26" s="8"/>
      <c r="R26" s="8"/>
      <c r="Z26" s="58" t="s">
        <v>1</v>
      </c>
      <c r="AA26" s="59" t="s">
        <v>2</v>
      </c>
      <c r="AB26" s="59" t="s">
        <v>3</v>
      </c>
      <c r="AC26" s="59" t="s">
        <v>4</v>
      </c>
      <c r="AD26" s="59" t="s">
        <v>5</v>
      </c>
      <c r="AE26" s="59" t="s">
        <v>27</v>
      </c>
      <c r="AF26" s="60" t="s">
        <v>7</v>
      </c>
      <c r="AH26" s="58" t="s">
        <v>1</v>
      </c>
      <c r="AI26" s="59" t="s">
        <v>2</v>
      </c>
      <c r="AJ26" s="36" t="s">
        <v>7</v>
      </c>
      <c r="AK26" s="88" t="s">
        <v>27</v>
      </c>
      <c r="AL26" s="159" t="s">
        <v>73</v>
      </c>
      <c r="AM26" s="15"/>
      <c r="AP26" s="1"/>
    </row>
    <row r="27" spans="2:42" ht="24.95" customHeight="1" x14ac:dyDescent="0.4">
      <c r="B27" s="129">
        <v>1</v>
      </c>
      <c r="C27" s="151">
        <f>IF(Tabulka171013[[#This Row],[ ]]="","",IF(Tabulka171013[[#This Row],[ ]]="NEÚČAST","",IF(OR(Tabulka171013[Výsledný čas]="N",Tabulka171013[Výsledný čas]="D"),$L$4-$L$5,_xlfn.RANK.EQ(Tabulka171013[[#This Row],[ ]],Tabulka171013[[ ]],1))))</f>
        <v>27</v>
      </c>
      <c r="D27" s="128" t="s">
        <v>30</v>
      </c>
      <c r="E27" s="120" t="s">
        <v>9</v>
      </c>
      <c r="F27" s="120">
        <v>16.010999999999999</v>
      </c>
      <c r="G27" s="152" t="str">
        <f>IF(OR(Tabulka171013[[#This Row],[LP]]="N",Tabulka171013[[#This Row],[PP]]="N"),"N",IF(OR(Tabulka171013[[#This Row],[LP]]="D",Tabulka171013[[#This Row],[PP]]="D"),"D",IF(OR(Tabulka171013[[#This Row],[LP]]="NEÚČAST",Tabulka171013[[#This Row],[PP]]="NEÚČAST"),"NEÚČAST",IF(OR(Tabulka171013[[#This Row],[LP]]="",Tabulka171013[[#This Row],[PP]]=""),"",MAX(Tabulka171013[[#This Row],[LP]:[PP]])))))</f>
        <v>N</v>
      </c>
      <c r="H27" s="149">
        <f>COUNTIF(Tabulka171013[[#This Row],[Tým]],"*")</f>
        <v>1</v>
      </c>
      <c r="I27" s="149">
        <f>COUNTIF(Tabulka171013[[#This Row],[Výsledný čas]],"NEÚČAST")</f>
        <v>0</v>
      </c>
      <c r="J27" s="1">
        <f>IF(Tabulka171013[[#This Row],[Výsledný čas]]="N",998,IF(Tabulka171013[[#This Row],[Výsledný čas]]="D",998,IF(Tabulka171013[[#This Row],[Výsledný čas]]="","",Tabulka171013[[#This Row],[Výsledný čas]])))</f>
        <v>998</v>
      </c>
      <c r="P27" s="7"/>
      <c r="Q27" s="8"/>
      <c r="R27" s="8"/>
      <c r="Z27" s="77">
        <f>IF(OR(Tabulka3811142[Výsledný čas]="N",Tabulka3811142[Výsledný čas]="D",Tabulka3811142[Výsledný čas]="NEÚČAST"),Uvod!$E$6,_xlfn.RANK.EQ(Tabulka3811142[[#This Row],[ ]],Tabulka3811142[[ ]],1))</f>
        <v>1</v>
      </c>
      <c r="AA27" s="78" t="s">
        <v>34</v>
      </c>
      <c r="AB27" s="79">
        <f>VLOOKUP(Tabulka3811142[[#This Row],[Tým]],Tabulka1710136[[Tým]:[ ]],2,FALSE)</f>
        <v>17.265000000000001</v>
      </c>
      <c r="AC27" s="79">
        <f>VLOOKUP(Tabulka3811142[[#This Row],[Tým]],Tabulka1710136[[Tým]:[ ]],3,FALSE)</f>
        <v>16.765999999999998</v>
      </c>
      <c r="AD27" s="80">
        <f>VLOOKUP(Tabulka3811142[[#This Row],[Tým]],Tabulka1710136[[Tým]:[ ]],4,FALSE)</f>
        <v>17.265000000000001</v>
      </c>
      <c r="AE27" s="80">
        <f>VLOOKUP(Tabulka3811142[[#This Row],[Tým]],Tabulka1710136[[Tým]:[ ]],7,FALSE)</f>
        <v>17.265000000000001</v>
      </c>
      <c r="AF27" s="81">
        <f>IF(Tabulka3811142[[#This Row],[Výsledný čas]]="N",5,IF(Tabulka3811142[[#This Row],[Výsledný čas]]="D",0,IF(Tabulka3811142[[#This Row],[Výsledný čas]]="NEÚČAST",0,Tabulka8[[#Totals],[Týmy ženy]]+6-Tabulka3811142[[#This Row],[Umístění]])))</f>
        <v>15</v>
      </c>
      <c r="AH27" s="77">
        <f>_xlfn.RANK.EQ(Tabulka5912153[[#This Row],[Body]],Tabulka5912153[Body],0)</f>
        <v>1</v>
      </c>
      <c r="AI27" s="78" t="s">
        <v>34</v>
      </c>
      <c r="AJ27" s="187">
        <f>VLOOKUP(Tabulka5912153[[#This Row],[Tým]],Tabulka3811142[[Tým]:[Body]],6,FALSE)+Tabulka5912153[[#This Row],[ ]]</f>
        <v>30</v>
      </c>
      <c r="AK27" s="75">
        <f>VLOOKUP(Tabulka5912153[[#This Row],[Tým]],Tabulka591215323[[Tým]:[Body]],4,FALSE)</f>
        <v>15</v>
      </c>
      <c r="AL27" s="92">
        <f>Tabulka5912153[[#This Row],[Umístění]]</f>
        <v>1</v>
      </c>
      <c r="AP27" s="1"/>
    </row>
    <row r="28" spans="2:42" ht="24.95" customHeight="1" x14ac:dyDescent="0.4">
      <c r="B28" s="144">
        <v>14</v>
      </c>
      <c r="C28" s="151">
        <f>IF(Tabulka171013[[#This Row],[ ]]="","",IF(Tabulka171013[[#This Row],[ ]]="NEÚČAST","",IF(OR(Tabulka171013[Výsledný čas]="N",Tabulka171013[Výsledný čas]="D"),$L$4-$L$5,_xlfn.RANK.EQ(Tabulka171013[[#This Row],[ ]],Tabulka171013[[ ]],1))))</f>
        <v>27</v>
      </c>
      <c r="D28" s="127" t="s">
        <v>94</v>
      </c>
      <c r="E28" s="121" t="s">
        <v>9</v>
      </c>
      <c r="F28" s="121">
        <v>15.654</v>
      </c>
      <c r="G28" s="152" t="str">
        <f>IF(OR(Tabulka171013[[#This Row],[LP]]="N",Tabulka171013[[#This Row],[PP]]="N"),"N",IF(OR(Tabulka171013[[#This Row],[LP]]="D",Tabulka171013[[#This Row],[PP]]="D"),"D",IF(OR(Tabulka171013[[#This Row],[LP]]="NEÚČAST",Tabulka171013[[#This Row],[PP]]="NEÚČAST"),"NEÚČAST",IF(OR(Tabulka171013[[#This Row],[LP]]="",Tabulka171013[[#This Row],[PP]]=""),"",MAX(Tabulka171013[[#This Row],[LP]:[PP]])))))</f>
        <v>N</v>
      </c>
      <c r="H28" s="149">
        <f>COUNTIF(Tabulka171013[[#This Row],[Tým]],"*")</f>
        <v>1</v>
      </c>
      <c r="I28" s="149">
        <f>COUNTIF(Tabulka171013[[#This Row],[Výsledný čas]],"NEÚČAST")</f>
        <v>0</v>
      </c>
      <c r="J28" s="1">
        <f>IF(Tabulka171013[[#This Row],[Výsledný čas]]="N",998,IF(Tabulka171013[[#This Row],[Výsledný čas]]="D",998,IF(Tabulka171013[[#This Row],[Výsledný čas]]="","",Tabulka171013[[#This Row],[Výsledný čas]])))</f>
        <v>998</v>
      </c>
      <c r="P28" s="7"/>
      <c r="Q28" s="8"/>
      <c r="R28" s="8"/>
      <c r="Z28" s="31">
        <f>IF(OR(Tabulka3811142[Výsledný čas]="N",Tabulka3811142[Výsledný čas]="D",Tabulka3811142[Výsledný čas]="NEÚČAST"),Uvod!$E$6,_xlfn.RANK.EQ(Tabulka3811142[[#This Row],[ ]],Tabulka3811142[[ ]],1))</f>
        <v>2</v>
      </c>
      <c r="AA28" s="51" t="s">
        <v>22</v>
      </c>
      <c r="AB28" s="44">
        <f>VLOOKUP(Tabulka3811142[[#This Row],[Tým]],Tabulka1710136[[Tým]:[ ]],2,FALSE)</f>
        <v>17.855</v>
      </c>
      <c r="AC28" s="44">
        <f>VLOOKUP(Tabulka3811142[[#This Row],[Tým]],Tabulka1710136[[Tým]:[ ]],3,FALSE)</f>
        <v>17.456</v>
      </c>
      <c r="AD28" s="25">
        <f>VLOOKUP(Tabulka3811142[[#This Row],[Tým]],Tabulka1710136[[Tým]:[ ]],4,FALSE)</f>
        <v>17.855</v>
      </c>
      <c r="AE28" s="25">
        <f>VLOOKUP(Tabulka3811142[[#This Row],[Tým]],Tabulka1710136[[Tým]:[ ]],7,FALSE)</f>
        <v>17.855</v>
      </c>
      <c r="AF28" s="29">
        <f>IF(Tabulka3811142[[#This Row],[Výsledný čas]]="N",5,IF(Tabulka3811142[[#This Row],[Výsledný čas]]="D",0,IF(Tabulka3811142[[#This Row],[Výsledný čas]]="NEÚČAST",0,Tabulka8[[#Totals],[Týmy ženy]]+6-Tabulka3811142[[#This Row],[Umístění]])))</f>
        <v>14</v>
      </c>
      <c r="AH28" s="31">
        <f>_xlfn.RANK.EQ(Tabulka5912153[[#This Row],[Body]],Tabulka5912153[Body],0)</f>
        <v>2</v>
      </c>
      <c r="AI28" s="51" t="s">
        <v>22</v>
      </c>
      <c r="AJ28" s="188">
        <f>VLOOKUP(Tabulka5912153[[#This Row],[Tým]],Tabulka3811142[[Tým]:[Body]],6,FALSE)+Tabulka5912153[[#This Row],[ ]]</f>
        <v>27</v>
      </c>
      <c r="AK28" s="75">
        <f>VLOOKUP(Tabulka5912153[[#This Row],[Tým]],Tabulka591215323[[Tým]:[Body]],4,FALSE)</f>
        <v>13</v>
      </c>
      <c r="AL28" s="47">
        <f>Tabulka5912153[[#This Row],[Umístění]]</f>
        <v>2</v>
      </c>
      <c r="AP28" s="1"/>
    </row>
    <row r="29" spans="2:42" ht="24.95" customHeight="1" x14ac:dyDescent="0.4">
      <c r="B29" s="129">
        <v>29</v>
      </c>
      <c r="C29" s="151">
        <f>IF(Tabulka171013[[#This Row],[ ]]="","",IF(Tabulka171013[[#This Row],[ ]]="NEÚČAST","",IF(OR(Tabulka171013[Výsledný čas]="N",Tabulka171013[Výsledný čas]="D"),$L$4-$L$5,_xlfn.RANK.EQ(Tabulka171013[[#This Row],[ ]],Tabulka171013[[ ]],1))))</f>
        <v>27</v>
      </c>
      <c r="D29" s="130" t="s">
        <v>18</v>
      </c>
      <c r="E29" s="120" t="s">
        <v>9</v>
      </c>
      <c r="F29" s="120" t="s">
        <v>9</v>
      </c>
      <c r="G29" s="152" t="str">
        <f>IF(OR(Tabulka171013[[#This Row],[LP]]="N",Tabulka171013[[#This Row],[PP]]="N"),"N",IF(OR(Tabulka171013[[#This Row],[LP]]="D",Tabulka171013[[#This Row],[PP]]="D"),"D",IF(OR(Tabulka171013[[#This Row],[LP]]="NEÚČAST",Tabulka171013[[#This Row],[PP]]="NEÚČAST"),"NEÚČAST",IF(OR(Tabulka171013[[#This Row],[LP]]="",Tabulka171013[[#This Row],[PP]]=""),"",MAX(Tabulka171013[[#This Row],[LP]:[PP]])))))</f>
        <v>N</v>
      </c>
      <c r="H29" s="149">
        <f>COUNTIF(Tabulka171013[[#This Row],[Tým]],"*")</f>
        <v>1</v>
      </c>
      <c r="I29" s="149">
        <f>COUNTIF(Tabulka171013[[#This Row],[Výsledný čas]],"NEÚČAST")</f>
        <v>0</v>
      </c>
      <c r="J29" s="1">
        <f>IF(Tabulka171013[[#This Row],[Výsledný čas]]="N",998,IF(Tabulka171013[[#This Row],[Výsledný čas]]="D",998,IF(Tabulka171013[[#This Row],[Výsledný čas]]="","",Tabulka171013[[#This Row],[Výsledný čas]])))</f>
        <v>998</v>
      </c>
      <c r="P29" s="7"/>
      <c r="Q29" s="8"/>
      <c r="R29" s="8"/>
      <c r="Z29" s="31">
        <f>IF(OR(Tabulka3811142[Výsledný čas]="N",Tabulka3811142[Výsledný čas]="D",Tabulka3811142[Výsledný čas]="NEÚČAST"),Uvod!$E$6,_xlfn.RANK.EQ(Tabulka3811142[[#This Row],[ ]],Tabulka3811142[[ ]],1))</f>
        <v>3</v>
      </c>
      <c r="AA29" s="51" t="s">
        <v>36</v>
      </c>
      <c r="AB29" s="44">
        <f>VLOOKUP(Tabulka3811142[[#This Row],[Tým]],Tabulka1710136[[Tým]:[ ]],2,FALSE)</f>
        <v>20.38</v>
      </c>
      <c r="AC29" s="44">
        <f>VLOOKUP(Tabulka3811142[[#This Row],[Tým]],Tabulka1710136[[Tým]:[ ]],3,FALSE)</f>
        <v>19.927</v>
      </c>
      <c r="AD29" s="25">
        <f>VLOOKUP(Tabulka3811142[[#This Row],[Tým]],Tabulka1710136[[Tým]:[ ]],4,FALSE)</f>
        <v>20.38</v>
      </c>
      <c r="AE29" s="25">
        <f>VLOOKUP(Tabulka3811142[[#This Row],[Tým]],Tabulka1710136[[Tým]:[ ]],7,FALSE)</f>
        <v>20.38</v>
      </c>
      <c r="AF29" s="29">
        <f>IF(Tabulka3811142[[#This Row],[Výsledný čas]]="N",5,IF(Tabulka3811142[[#This Row],[Výsledný čas]]="D",0,IF(Tabulka3811142[[#This Row],[Výsledný čas]]="NEÚČAST",0,Tabulka8[[#Totals],[Týmy ženy]]+6-Tabulka3811142[[#This Row],[Umístění]])))</f>
        <v>13</v>
      </c>
      <c r="AH29" s="31">
        <f>_xlfn.RANK.EQ(Tabulka5912153[[#This Row],[Body]],Tabulka5912153[Body],0)</f>
        <v>3</v>
      </c>
      <c r="AI29" s="51" t="s">
        <v>35</v>
      </c>
      <c r="AJ29" s="188">
        <f>VLOOKUP(Tabulka5912153[[#This Row],[Tým]],Tabulka3811142[[Tým]:[Body]],6,FALSE)+Tabulka5912153[[#This Row],[ ]]</f>
        <v>25</v>
      </c>
      <c r="AK29" s="75">
        <f>VLOOKUP(Tabulka5912153[[#This Row],[Tým]],Tabulka591215323[[Tým]:[Body]],4,FALSE)</f>
        <v>14</v>
      </c>
      <c r="AL29" s="47">
        <f>Tabulka5912153[[#This Row],[Umístění]]</f>
        <v>3</v>
      </c>
      <c r="AP29" s="1"/>
    </row>
    <row r="30" spans="2:42" ht="24.95" customHeight="1" thickBot="1" x14ac:dyDescent="0.45">
      <c r="B30" s="146">
        <v>35</v>
      </c>
      <c r="C30" s="153">
        <f>IF(Tabulka171013[[#This Row],[ ]]="","",IF(Tabulka171013[[#This Row],[ ]]="NEÚČAST","",IF(OR(Tabulka171013[Výsledný čas]="N",Tabulka171013[Výsledný čas]="D"),$L$4-$L$5,_xlfn.RANK.EQ(Tabulka171013[[#This Row],[ ]],Tabulka171013[[ ]],1))))</f>
        <v>27</v>
      </c>
      <c r="D30" s="131" t="s">
        <v>95</v>
      </c>
      <c r="E30" s="125" t="s">
        <v>9</v>
      </c>
      <c r="F30" s="125" t="s">
        <v>9</v>
      </c>
      <c r="G30" s="154" t="str">
        <f>IF(OR(Tabulka171013[[#This Row],[LP]]="N",Tabulka171013[[#This Row],[PP]]="N"),"N",IF(OR(Tabulka171013[[#This Row],[LP]]="D",Tabulka171013[[#This Row],[PP]]="D"),"D",IF(OR(Tabulka171013[[#This Row],[LP]]="NEÚČAST",Tabulka171013[[#This Row],[PP]]="NEÚČAST"),"NEÚČAST",IF(OR(Tabulka171013[[#This Row],[LP]]="",Tabulka171013[[#This Row],[PP]]=""),"",MAX(Tabulka171013[[#This Row],[LP]:[PP]])))))</f>
        <v>N</v>
      </c>
      <c r="H30" s="149">
        <f>COUNTIF(Tabulka171013[[#This Row],[Tým]],"*")</f>
        <v>1</v>
      </c>
      <c r="I30" s="149">
        <f>COUNTIF(Tabulka171013[[#This Row],[Výsledný čas]],"NEÚČAST")</f>
        <v>0</v>
      </c>
      <c r="J30" s="1">
        <f>IF(Tabulka171013[[#This Row],[Výsledný čas]]="N",998,IF(Tabulka171013[[#This Row],[Výsledný čas]]="D",998,IF(Tabulka171013[[#This Row],[Výsledný čas]]="","",Tabulka171013[[#This Row],[Výsledný čas]])))</f>
        <v>998</v>
      </c>
      <c r="N30" s="68"/>
      <c r="P30" s="7"/>
      <c r="Q30" s="8"/>
      <c r="R30" s="8"/>
      <c r="Z30" s="31">
        <f>IF(OR(Tabulka3811142[Výsledný čas]="N",Tabulka3811142[Výsledný čas]="D",Tabulka3811142[Výsledný čas]="NEÚČAST"),Uvod!$E$6,_xlfn.RANK.EQ(Tabulka3811142[[#This Row],[ ]],Tabulka3811142[[ ]],1))</f>
        <v>4</v>
      </c>
      <c r="AA30" s="51" t="s">
        <v>21</v>
      </c>
      <c r="AB30" s="44">
        <f>VLOOKUP(Tabulka3811142[[#This Row],[Tým]],Tabulka1710136[[Tým]:[ ]],2,FALSE)</f>
        <v>20.561</v>
      </c>
      <c r="AC30" s="44">
        <f>VLOOKUP(Tabulka3811142[[#This Row],[Tým]],Tabulka1710136[[Tým]:[ ]],3,FALSE)</f>
        <v>19.562999999999999</v>
      </c>
      <c r="AD30" s="25">
        <f>VLOOKUP(Tabulka3811142[[#This Row],[Tým]],Tabulka1710136[[Tým]:[ ]],4,FALSE)</f>
        <v>20.561</v>
      </c>
      <c r="AE30" s="25">
        <f>VLOOKUP(Tabulka3811142[[#This Row],[Tým]],Tabulka1710136[[Tým]:[ ]],7,FALSE)</f>
        <v>20.561</v>
      </c>
      <c r="AF30" s="29">
        <f>IF(Tabulka3811142[[#This Row],[Výsledný čas]]="N",5,IF(Tabulka3811142[[#This Row],[Výsledný čas]]="D",0,IF(Tabulka3811142[[#This Row],[Výsledný čas]]="NEÚČAST",0,Tabulka8[[#Totals],[Týmy ženy]]+6-Tabulka3811142[[#This Row],[Umístění]])))</f>
        <v>12</v>
      </c>
      <c r="AH30" s="31">
        <f>_xlfn.RANK.EQ(Tabulka5912153[[#This Row],[Body]],Tabulka5912153[Body],0)</f>
        <v>4</v>
      </c>
      <c r="AI30" s="51" t="s">
        <v>21</v>
      </c>
      <c r="AJ30" s="188">
        <f>VLOOKUP(Tabulka5912153[[#This Row],[Tým]],Tabulka3811142[[Tým]:[Body]],6,FALSE)+Tabulka5912153[[#This Row],[ ]]</f>
        <v>24</v>
      </c>
      <c r="AK30" s="76">
        <f>VLOOKUP(Tabulka5912153[[#This Row],[Tým]],Tabulka591215323[[Tým]:[Body]],4,FALSE)</f>
        <v>12</v>
      </c>
      <c r="AL30" s="47">
        <f>Tabulka5912153[[#This Row],[Umístění]]</f>
        <v>4</v>
      </c>
      <c r="AP30" s="1"/>
    </row>
    <row r="31" spans="2:42" ht="24.95" customHeight="1" x14ac:dyDescent="0.4">
      <c r="B31" s="68"/>
      <c r="D31" s="53"/>
      <c r="E31" s="53"/>
      <c r="F31" s="53"/>
      <c r="N31" s="68"/>
      <c r="P31" s="7"/>
      <c r="Q31" s="8"/>
      <c r="R31" s="8"/>
      <c r="Z31" s="31">
        <f>IF(OR(Tabulka3811142[Výsledný čas]="N",Tabulka3811142[Výsledný čas]="D",Tabulka3811142[Výsledný čas]="NEÚČAST"),Uvod!$E$6,_xlfn.RANK.EQ(Tabulka3811142[[#This Row],[ ]],Tabulka3811142[[ ]],1))</f>
        <v>5</v>
      </c>
      <c r="AA31" s="51" t="s">
        <v>35</v>
      </c>
      <c r="AB31" s="44">
        <f>VLOOKUP(Tabulka3811142[[#This Row],[Tým]],Tabulka1710136[[Tým]:[ ]],2,FALSE)</f>
        <v>21.809000000000001</v>
      </c>
      <c r="AC31" s="44">
        <f>VLOOKUP(Tabulka3811142[[#This Row],[Tým]],Tabulka1710136[[Tým]:[ ]],3,FALSE)</f>
        <v>21.872</v>
      </c>
      <c r="AD31" s="25">
        <f>VLOOKUP(Tabulka3811142[[#This Row],[Tým]],Tabulka1710136[[Tým]:[ ]],4,FALSE)</f>
        <v>21.872</v>
      </c>
      <c r="AE31" s="25">
        <f>VLOOKUP(Tabulka3811142[[#This Row],[Tým]],Tabulka1710136[[Tým]:[ ]],7,FALSE)</f>
        <v>21.872</v>
      </c>
      <c r="AF31" s="29">
        <f>IF(Tabulka3811142[[#This Row],[Výsledný čas]]="N",5,IF(Tabulka3811142[[#This Row],[Výsledný čas]]="D",0,IF(Tabulka3811142[[#This Row],[Výsledný čas]]="NEÚČAST",0,Tabulka8[[#Totals],[Týmy ženy]]+6-Tabulka3811142[[#This Row],[Umístění]])))</f>
        <v>11</v>
      </c>
      <c r="AH31" s="31">
        <f>_xlfn.RANK.EQ(Tabulka5912153[[#This Row],[Body]],Tabulka5912153[Body],0)</f>
        <v>5</v>
      </c>
      <c r="AI31" s="51" t="s">
        <v>19</v>
      </c>
      <c r="AJ31" s="188">
        <f>VLOOKUP(Tabulka5912153[[#This Row],[Tým]],Tabulka3811142[[Tým]:[Body]],6,FALSE)+Tabulka5912153[[#This Row],[ ]]</f>
        <v>19</v>
      </c>
      <c r="AK31" s="75">
        <f>VLOOKUP(Tabulka5912153[[#This Row],[Tým]],Tabulka591215323[[Tým]:[Body]],4,FALSE)</f>
        <v>10</v>
      </c>
      <c r="AL31" s="47">
        <f>Tabulka5912153[[#This Row],[Umístění]]</f>
        <v>5</v>
      </c>
      <c r="AP31" s="1"/>
    </row>
    <row r="32" spans="2:42" ht="24.95" customHeight="1" x14ac:dyDescent="0.4">
      <c r="B32" s="68"/>
      <c r="D32" s="53"/>
      <c r="E32" s="53"/>
      <c r="F32" s="53"/>
      <c r="P32" s="7"/>
      <c r="Q32" s="8"/>
      <c r="R32" s="8"/>
      <c r="Z32" s="31">
        <f>IF(OR(Tabulka3811142[Výsledný čas]="N",Tabulka3811142[Výsledný čas]="D",Tabulka3811142[Výsledný čas]="NEÚČAST"),Uvod!$E$6,_xlfn.RANK.EQ(Tabulka3811142[[#This Row],[ ]],Tabulka3811142[[ ]],1))</f>
        <v>6</v>
      </c>
      <c r="AA32" s="51" t="s">
        <v>15</v>
      </c>
      <c r="AB32" s="44">
        <f>VLOOKUP(Tabulka3811142[[#This Row],[Tým]],Tabulka1710136[[Tým]:[ ]],2,FALSE)</f>
        <v>20.643999999999998</v>
      </c>
      <c r="AC32" s="44">
        <f>VLOOKUP(Tabulka3811142[[#This Row],[Tým]],Tabulka1710136[[Tým]:[ ]],3,FALSE)</f>
        <v>24.998999999999999</v>
      </c>
      <c r="AD32" s="25">
        <f>VLOOKUP(Tabulka3811142[[#This Row],[Tým]],Tabulka1710136[[Tým]:[ ]],4,FALSE)</f>
        <v>24.998999999999999</v>
      </c>
      <c r="AE32" s="25">
        <f>VLOOKUP(Tabulka3811142[[#This Row],[Tým]],Tabulka1710136[[Tým]:[ ]],7,FALSE)</f>
        <v>24.998999999999999</v>
      </c>
      <c r="AF32" s="29">
        <f>IF(Tabulka3811142[[#This Row],[Výsledný čas]]="N",5,IF(Tabulka3811142[[#This Row],[Výsledný čas]]="D",0,IF(Tabulka3811142[[#This Row],[Výsledný čas]]="NEÚČAST",0,Tabulka8[[#Totals],[Týmy ženy]]+6-Tabulka3811142[[#This Row],[Umístění]])))</f>
        <v>10</v>
      </c>
      <c r="AH32" s="31">
        <f>_xlfn.RANK.EQ(Tabulka5912153[[#This Row],[Body]],Tabulka5912153[Body],0)</f>
        <v>5</v>
      </c>
      <c r="AI32" s="51" t="s">
        <v>15</v>
      </c>
      <c r="AJ32" s="188">
        <f>VLOOKUP(Tabulka5912153[[#This Row],[Tým]],Tabulka3811142[[Tým]:[Body]],6,FALSE)+Tabulka5912153[[#This Row],[ ]]</f>
        <v>19</v>
      </c>
      <c r="AK32" s="75">
        <f>VLOOKUP(Tabulka5912153[[#This Row],[Tým]],Tabulka591215323[[Tým]:[Body]],4,FALSE)</f>
        <v>9</v>
      </c>
      <c r="AL32" s="47">
        <f>Tabulka5912153[[#This Row],[Umístění]]</f>
        <v>5</v>
      </c>
      <c r="AP32" s="1"/>
    </row>
    <row r="33" spans="2:42" ht="24.95" customHeight="1" x14ac:dyDescent="0.4">
      <c r="B33" s="68"/>
      <c r="D33" s="53"/>
      <c r="E33" s="53"/>
      <c r="F33" s="53"/>
      <c r="P33" s="7"/>
      <c r="Q33" s="8"/>
      <c r="R33" s="8"/>
      <c r="Z33" s="31">
        <f>IF(OR(Tabulka3811142[Výsledný čas]="N",Tabulka3811142[Výsledný čas]="D",Tabulka3811142[Výsledný čas]="NEÚČAST"),Uvod!$E$6,_xlfn.RANK.EQ(Tabulka3811142[[#This Row],[ ]],Tabulka3811142[[ ]],1))</f>
        <v>7</v>
      </c>
      <c r="AA33" s="51" t="s">
        <v>19</v>
      </c>
      <c r="AB33" s="44">
        <f>VLOOKUP(Tabulka3811142[[#This Row],[Tým]],Tabulka1710136[[Tým]:[ ]],2,FALSE)</f>
        <v>28.719000000000001</v>
      </c>
      <c r="AC33" s="44">
        <f>VLOOKUP(Tabulka3811142[[#This Row],[Tým]],Tabulka1710136[[Tým]:[ ]],3,FALSE)</f>
        <v>19.059000000000001</v>
      </c>
      <c r="AD33" s="25">
        <f>VLOOKUP(Tabulka3811142[[#This Row],[Tým]],Tabulka1710136[[Tým]:[ ]],4,FALSE)</f>
        <v>28.719000000000001</v>
      </c>
      <c r="AE33" s="25">
        <f>VLOOKUP(Tabulka3811142[[#This Row],[Tým]],Tabulka1710136[[Tým]:[ ]],7,FALSE)</f>
        <v>28.719000000000001</v>
      </c>
      <c r="AF33" s="29">
        <f>IF(Tabulka3811142[[#This Row],[Výsledný čas]]="N",5,IF(Tabulka3811142[[#This Row],[Výsledný čas]]="D",0,IF(Tabulka3811142[[#This Row],[Výsledný čas]]="NEÚČAST",0,Tabulka8[[#Totals],[Týmy ženy]]+6-Tabulka3811142[[#This Row],[Umístění]])))</f>
        <v>9</v>
      </c>
      <c r="AH33" s="31">
        <f>_xlfn.RANK.EQ(Tabulka5912153[[#This Row],[Body]],Tabulka5912153[Body],0)</f>
        <v>5</v>
      </c>
      <c r="AI33" s="51" t="s">
        <v>23</v>
      </c>
      <c r="AJ33" s="188">
        <f>VLOOKUP(Tabulka5912153[[#This Row],[Tým]],Tabulka3811142[[Tým]:[Body]],6,FALSE)+Tabulka5912153[[#This Row],[ ]]</f>
        <v>19</v>
      </c>
      <c r="AK33" s="75">
        <f>VLOOKUP(Tabulka5912153[[#This Row],[Tým]],Tabulka591215323[[Tým]:[Body]],4,FALSE)</f>
        <v>11</v>
      </c>
      <c r="AL33" s="47">
        <f>Tabulka5912153[[#This Row],[Umístění]]</f>
        <v>5</v>
      </c>
      <c r="AP33" s="1"/>
    </row>
    <row r="34" spans="2:42" ht="24.95" customHeight="1" thickBot="1" x14ac:dyDescent="0.45">
      <c r="B34" s="68"/>
      <c r="D34" s="53"/>
      <c r="E34" s="53"/>
      <c r="F34" s="53"/>
      <c r="P34" s="7"/>
      <c r="Q34" s="8"/>
      <c r="R34" s="8"/>
      <c r="Z34" s="31">
        <f>IF(OR(Tabulka3811142[Výsledný čas]="N",Tabulka3811142[Výsledný čas]="D",Tabulka3811142[Výsledný čas]="NEÚČAST"),Uvod!$E$6,_xlfn.RANK.EQ(Tabulka3811142[[#This Row],[ ]],Tabulka3811142[[ ]],1))</f>
        <v>8</v>
      </c>
      <c r="AA34" s="51" t="s">
        <v>23</v>
      </c>
      <c r="AB34" s="44">
        <f>VLOOKUP(Tabulka3811142[[#This Row],[Tým]],Tabulka1710136[[Tým]:[ ]],2,FALSE)</f>
        <v>40.090000000000003</v>
      </c>
      <c r="AC34" s="44">
        <f>VLOOKUP(Tabulka3811142[[#This Row],[Tým]],Tabulka1710136[[Tým]:[ ]],3,FALSE)</f>
        <v>21.494</v>
      </c>
      <c r="AD34" s="25">
        <f>VLOOKUP(Tabulka3811142[[#This Row],[Tým]],Tabulka1710136[[Tým]:[ ]],4,FALSE)</f>
        <v>40.090000000000003</v>
      </c>
      <c r="AE34" s="25">
        <f>VLOOKUP(Tabulka3811142[[#This Row],[Tým]],Tabulka1710136[[Tým]:[ ]],7,FALSE)</f>
        <v>40.090000000000003</v>
      </c>
      <c r="AF34" s="29">
        <f>IF(Tabulka3811142[[#This Row],[Výsledný čas]]="N",5,IF(Tabulka3811142[[#This Row],[Výsledný čas]]="D",0,IF(Tabulka3811142[[#This Row],[Výsledný čas]]="NEÚČAST",0,Tabulka8[[#Totals],[Týmy ženy]]+6-Tabulka3811142[[#This Row],[Umístění]])))</f>
        <v>8</v>
      </c>
      <c r="AH34" s="31">
        <f>_xlfn.RANK.EQ(Tabulka5912153[[#This Row],[Body]],Tabulka5912153[Body],0)</f>
        <v>8</v>
      </c>
      <c r="AI34" s="51" t="s">
        <v>36</v>
      </c>
      <c r="AJ34" s="188">
        <f>VLOOKUP(Tabulka5912153[[#This Row],[Tým]],Tabulka3811142[[Tým]:[Body]],6,FALSE)+Tabulka5912153[[#This Row],[ ]]</f>
        <v>18</v>
      </c>
      <c r="AK34" s="76">
        <f>VLOOKUP(Tabulka5912153[[#This Row],[Tým]],Tabulka591215323[[Tým]:[Body]],4,FALSE)</f>
        <v>5</v>
      </c>
      <c r="AL34" s="47">
        <f>Tabulka5912153[[#This Row],[Umístění]]</f>
        <v>8</v>
      </c>
      <c r="AP34" s="1"/>
    </row>
    <row r="35" spans="2:42" ht="24.95" customHeight="1" x14ac:dyDescent="0.4">
      <c r="B35" s="68"/>
      <c r="D35" s="53"/>
      <c r="E35" s="53"/>
      <c r="F35" s="53"/>
      <c r="N35" s="70"/>
      <c r="P35" s="7"/>
      <c r="Q35" s="8"/>
      <c r="R35" s="8"/>
      <c r="Z35" s="31">
        <f>IF(OR(Tabulka3811142[Výsledný čas]="N",Tabulka3811142[Výsledný čas]="D",Tabulka3811142[Výsledný čas]="NEÚČAST"),Uvod!$E$6,_xlfn.RANK.EQ(Tabulka3811142[[#This Row],[ ]],Tabulka3811142[[ ]],1))</f>
        <v>9</v>
      </c>
      <c r="AA35" s="51" t="s">
        <v>24</v>
      </c>
      <c r="AB35" s="44">
        <f>VLOOKUP(Tabulka3811142[[#This Row],[Tým]],Tabulka1710136[[Tým]:[ ]],2,FALSE)</f>
        <v>42.063000000000002</v>
      </c>
      <c r="AC35" s="44">
        <f>VLOOKUP(Tabulka3811142[[#This Row],[Tým]],Tabulka1710136[[Tým]:[ ]],3,FALSE)</f>
        <v>43.447000000000003</v>
      </c>
      <c r="AD35" s="25">
        <f>VLOOKUP(Tabulka3811142[[#This Row],[Tým]],Tabulka1710136[[Tým]:[ ]],4,FALSE)</f>
        <v>43.447000000000003</v>
      </c>
      <c r="AE35" s="25">
        <f>VLOOKUP(Tabulka3811142[[#This Row],[Tým]],Tabulka1710136[[Tým]:[ ]],7,FALSE)</f>
        <v>43.447000000000003</v>
      </c>
      <c r="AF35" s="29">
        <f>IF(Tabulka3811142[[#This Row],[Výsledný čas]]="N",5,IF(Tabulka3811142[[#This Row],[Výsledný čas]]="D",0,IF(Tabulka3811142[[#This Row],[Výsledný čas]]="NEÚČAST",0,Tabulka8[[#Totals],[Týmy ženy]]+6-Tabulka3811142[[#This Row],[Umístění]])))</f>
        <v>7</v>
      </c>
      <c r="AH35" s="31">
        <f>_xlfn.RANK.EQ(Tabulka5912153[[#This Row],[Body]],Tabulka5912153[Body],0)</f>
        <v>9</v>
      </c>
      <c r="AI35" s="51" t="s">
        <v>24</v>
      </c>
      <c r="AJ35" s="188">
        <f>VLOOKUP(Tabulka5912153[[#This Row],[Tým]],Tabulka3811142[[Tým]:[Body]],6,FALSE)+Tabulka5912153[[#This Row],[ ]]</f>
        <v>12</v>
      </c>
      <c r="AK35" s="82">
        <f>VLOOKUP(Tabulka5912153[[#This Row],[Tým]],Tabulka591215323[[Tým]:[Body]],4,FALSE)</f>
        <v>5</v>
      </c>
      <c r="AL35" s="47">
        <f>Tabulka5912153[[#This Row],[Umístění]]</f>
        <v>9</v>
      </c>
      <c r="AP35" s="1"/>
    </row>
    <row r="36" spans="2:42" ht="24.95" customHeight="1" thickBot="1" x14ac:dyDescent="0.45">
      <c r="B36" s="68"/>
      <c r="D36" s="53"/>
      <c r="E36" s="53"/>
      <c r="F36" s="53"/>
      <c r="N36" s="70"/>
      <c r="P36" s="7"/>
      <c r="Q36" s="8"/>
      <c r="R36" s="8"/>
      <c r="Z36" s="33">
        <f>IF(OR(Tabulka3811142[Výsledný čas]="N",Tabulka3811142[Výsledný čas]="D",Tabulka3811142[Výsledný čas]="NEÚČAST"),Uvod!$E$6,_xlfn.RANK.EQ(Tabulka3811142[[#This Row],[ ]],Tabulka3811142[[ ]],1))</f>
        <v>10</v>
      </c>
      <c r="AA36" s="62" t="s">
        <v>16</v>
      </c>
      <c r="AB36" s="45">
        <f>VLOOKUP(Tabulka3811142[[#This Row],[Tým]],Tabulka1710136[[Tým]:[ ]],2,FALSE)</f>
        <v>35.795999999999999</v>
      </c>
      <c r="AC36" s="45" t="str">
        <f>VLOOKUP(Tabulka3811142[[#This Row],[Tým]],Tabulka1710136[[Tým]:[ ]],3,FALSE)</f>
        <v>N</v>
      </c>
      <c r="AD36" s="34" t="str">
        <f>VLOOKUP(Tabulka3811142[[#This Row],[Tým]],Tabulka1710136[[Tým]:[ ]],4,FALSE)</f>
        <v>N</v>
      </c>
      <c r="AE36" s="34">
        <f>VLOOKUP(Tabulka3811142[[#This Row],[Tým]],Tabulka1710136[[Tým]:[ ]],7,FALSE)</f>
        <v>998</v>
      </c>
      <c r="AF36" s="36">
        <f>IF(Tabulka3811142[[#This Row],[Výsledný čas]]="N",5,IF(Tabulka3811142[[#This Row],[Výsledný čas]]="D",0,IF(Tabulka3811142[[#This Row],[Výsledný čas]]="NEÚČAST",0,Tabulka8[[#Totals],[Týmy ženy]]+6-Tabulka3811142[[#This Row],[Umístění]])))</f>
        <v>5</v>
      </c>
      <c r="AH36" s="33">
        <f>_xlfn.RANK.EQ(Tabulka5912153[[#This Row],[Body]],Tabulka5912153[Body],0)</f>
        <v>10</v>
      </c>
      <c r="AI36" s="62" t="s">
        <v>16</v>
      </c>
      <c r="AJ36" s="189">
        <f>VLOOKUP(Tabulka5912153[[#This Row],[Tým]],Tabulka3811142[[Tým]:[Body]],6,FALSE)+Tabulka5912153[[#This Row],[ ]]</f>
        <v>10</v>
      </c>
      <c r="AK36" s="82">
        <f>VLOOKUP(Tabulka5912153[[#This Row],[Tým]],Tabulka591215323[[Tým]:[Body]],4,FALSE)</f>
        <v>5</v>
      </c>
      <c r="AL36" s="93">
        <f>Tabulka5912153[[#This Row],[Umístění]]</f>
        <v>10</v>
      </c>
      <c r="AP36" s="1"/>
    </row>
    <row r="37" spans="2:42" ht="24.95" customHeight="1" x14ac:dyDescent="0.4">
      <c r="B37" s="70"/>
      <c r="D37" s="53"/>
      <c r="E37" s="53"/>
      <c r="F37" s="53"/>
      <c r="P37" s="7"/>
      <c r="Q37" s="8"/>
      <c r="R37" s="8"/>
      <c r="AB37" s="3"/>
      <c r="AC37" s="3"/>
      <c r="AK37" s="4"/>
    </row>
    <row r="38" spans="2:42" ht="24.95" customHeight="1" x14ac:dyDescent="0.4">
      <c r="D38" s="53"/>
      <c r="E38" s="53"/>
      <c r="F38" s="53"/>
      <c r="P38" s="7"/>
      <c r="Q38" s="8"/>
      <c r="R38" s="8"/>
      <c r="AB38" s="3"/>
      <c r="AC38" s="3"/>
      <c r="AK38" s="4"/>
    </row>
    <row r="39" spans="2:42" ht="24.95" customHeight="1" x14ac:dyDescent="0.4">
      <c r="D39" s="53"/>
      <c r="E39" s="53"/>
      <c r="F39" s="53"/>
      <c r="P39" s="7"/>
      <c r="Q39" s="8"/>
      <c r="R39" s="8"/>
      <c r="AB39" s="3"/>
      <c r="AC39" s="3"/>
      <c r="AK39" s="4"/>
    </row>
    <row r="40" spans="2:42" ht="24.95" customHeight="1" x14ac:dyDescent="0.4">
      <c r="D40" s="53"/>
      <c r="E40" s="53"/>
      <c r="F40" s="53"/>
      <c r="N40" s="68"/>
      <c r="P40" s="7"/>
      <c r="Q40" s="8"/>
      <c r="R40" s="8"/>
      <c r="AB40" s="3"/>
      <c r="AC40" s="3"/>
      <c r="AK40" s="4"/>
    </row>
    <row r="41" spans="2:42" ht="24.95" customHeight="1" x14ac:dyDescent="0.4">
      <c r="D41" s="16"/>
      <c r="N41" s="68"/>
      <c r="P41" s="7"/>
      <c r="Q41" s="8"/>
      <c r="R41" s="8"/>
      <c r="AB41" s="3"/>
      <c r="AC41" s="3"/>
      <c r="AK41" s="4"/>
    </row>
    <row r="42" spans="2:42" ht="24.95" customHeight="1" x14ac:dyDescent="0.4">
      <c r="D42" s="16"/>
      <c r="P42" s="7"/>
      <c r="Q42" s="8"/>
      <c r="R42" s="8"/>
      <c r="AB42" s="3"/>
      <c r="AC42" s="3"/>
      <c r="AK42" s="4"/>
    </row>
    <row r="43" spans="2:42" ht="24.95" customHeight="1" x14ac:dyDescent="0.4">
      <c r="D43" s="16"/>
      <c r="P43" s="7"/>
      <c r="Q43" s="8"/>
      <c r="R43" s="8"/>
      <c r="AB43" s="3"/>
      <c r="AC43" s="3"/>
      <c r="AK43" s="4"/>
    </row>
    <row r="44" spans="2:42" ht="24.95" customHeight="1" x14ac:dyDescent="0.4">
      <c r="D44" s="16"/>
      <c r="P44" s="7"/>
      <c r="Q44" s="8"/>
      <c r="R44" s="8"/>
    </row>
    <row r="45" spans="2:42" ht="24.95" customHeight="1" x14ac:dyDescent="0.4">
      <c r="D45" s="16"/>
      <c r="N45" s="68"/>
      <c r="P45" s="7"/>
      <c r="Q45" s="8"/>
      <c r="R45" s="8"/>
    </row>
    <row r="46" spans="2:42" ht="24.95" customHeight="1" x14ac:dyDescent="0.4">
      <c r="D46" s="16"/>
      <c r="N46" s="68"/>
      <c r="P46" s="7"/>
      <c r="Q46" s="8"/>
      <c r="R46" s="8"/>
    </row>
    <row r="47" spans="2:42" ht="24.95" customHeight="1" x14ac:dyDescent="0.4">
      <c r="D47" s="16"/>
      <c r="P47" s="7"/>
      <c r="Q47" s="8"/>
      <c r="R47" s="8"/>
    </row>
    <row r="48" spans="2:42" ht="24.95" customHeight="1" x14ac:dyDescent="0.4">
      <c r="D48" s="16"/>
      <c r="P48" s="7"/>
      <c r="Q48" s="8"/>
      <c r="R48" s="8"/>
    </row>
    <row r="49" spans="4:18" ht="24.95" customHeight="1" x14ac:dyDescent="0.4">
      <c r="D49" s="16"/>
      <c r="P49" s="7"/>
      <c r="Q49" s="8"/>
      <c r="R49" s="8"/>
    </row>
    <row r="50" spans="4:18" ht="24.95" customHeight="1" x14ac:dyDescent="0.4">
      <c r="D50" s="16"/>
      <c r="P50" s="16"/>
    </row>
    <row r="51" spans="4:18" ht="24.95" customHeight="1" x14ac:dyDescent="0.4">
      <c r="D51" s="16"/>
      <c r="P51" s="16"/>
    </row>
    <row r="52" spans="4:18" ht="24.95" customHeight="1" x14ac:dyDescent="0.4">
      <c r="D52" s="16"/>
      <c r="P52" s="16"/>
    </row>
    <row r="53" spans="4:18" ht="24.95" customHeight="1" x14ac:dyDescent="0.4">
      <c r="D53" s="16"/>
      <c r="P53" s="16"/>
    </row>
    <row r="54" spans="4:18" x14ac:dyDescent="0.4">
      <c r="D54" s="16"/>
      <c r="P54" s="16"/>
    </row>
    <row r="55" spans="4:18" x14ac:dyDescent="0.4">
      <c r="D55" s="16"/>
    </row>
    <row r="56" spans="4:18" x14ac:dyDescent="0.4">
      <c r="D56" s="16"/>
    </row>
    <row r="57" spans="4:18" x14ac:dyDescent="0.4">
      <c r="D57" s="16"/>
    </row>
    <row r="58" spans="4:18" x14ac:dyDescent="0.4">
      <c r="D58" s="16"/>
    </row>
    <row r="59" spans="4:18" x14ac:dyDescent="0.4">
      <c r="D59" s="16"/>
    </row>
    <row r="60" spans="4:18" x14ac:dyDescent="0.4">
      <c r="D60" s="16"/>
    </row>
    <row r="61" spans="4:18" x14ac:dyDescent="0.4">
      <c r="D61" s="16"/>
    </row>
    <row r="62" spans="4:18" x14ac:dyDescent="0.4">
      <c r="D62" s="16"/>
    </row>
    <row r="63" spans="4:18" x14ac:dyDescent="0.4">
      <c r="D63" s="16"/>
    </row>
    <row r="64" spans="4:18" x14ac:dyDescent="0.4">
      <c r="D64" s="16"/>
    </row>
    <row r="65" spans="4:4" x14ac:dyDescent="0.4">
      <c r="D65" s="16"/>
    </row>
    <row r="66" spans="4:4" x14ac:dyDescent="0.4">
      <c r="D66" s="16"/>
    </row>
  </sheetData>
  <protectedRanges>
    <protectedRange sqref="B1:B1048576 D1:F1048576 Z2 AB2:AD2" name="Oblast1"/>
  </protectedRanges>
  <mergeCells count="6">
    <mergeCell ref="B2:J2"/>
    <mergeCell ref="N2:V2"/>
    <mergeCell ref="Z2:AF2"/>
    <mergeCell ref="AH25:AK25"/>
    <mergeCell ref="Z25:AF25"/>
    <mergeCell ref="AH2:AL2"/>
  </mergeCells>
  <conditionalFormatting sqref="D12">
    <cfRule type="duplicateValues" dxfId="21" priority="1"/>
  </conditionalFormatting>
  <conditionalFormatting sqref="D18">
    <cfRule type="duplicateValues" dxfId="20" priority="2"/>
  </conditionalFormatting>
  <pageMargins left="0.25" right="0.25" top="0.75" bottom="0.75" header="0.3" footer="0.3"/>
  <pageSetup paperSize="8" scale="43" fitToHeight="0" orientation="landscape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29807-C960-4EF9-9385-5276B4694D87}">
  <dimension ref="A1:AP58"/>
  <sheetViews>
    <sheetView showGridLines="0" zoomScale="55" zoomScaleNormal="55" workbookViewId="0">
      <selection activeCell="P50" sqref="P50"/>
    </sheetView>
  </sheetViews>
  <sheetFormatPr defaultRowHeight="26.25" x14ac:dyDescent="0.4"/>
  <cols>
    <col min="1" max="1" width="5.7109375" style="1" customWidth="1"/>
    <col min="2" max="3" width="16.7109375" style="1" customWidth="1"/>
    <col min="4" max="4" width="35.7109375" style="1" customWidth="1"/>
    <col min="5" max="6" width="17.85546875" style="1" bestFit="1" customWidth="1"/>
    <col min="7" max="7" width="22.7109375" style="1" customWidth="1"/>
    <col min="8" max="9" width="22.7109375" style="1" hidden="1" customWidth="1"/>
    <col min="10" max="12" width="11.5703125" style="1" hidden="1" customWidth="1"/>
    <col min="13" max="13" width="10.7109375" style="1" customWidth="1"/>
    <col min="14" max="15" width="16.7109375" style="1" customWidth="1"/>
    <col min="16" max="16" width="35.7109375" style="1" customWidth="1"/>
    <col min="17" max="18" width="16.7109375" style="1" customWidth="1"/>
    <col min="19" max="19" width="20.7109375" style="1" customWidth="1"/>
    <col min="20" max="21" width="20.7109375" style="1" hidden="1" customWidth="1"/>
    <col min="22" max="24" width="13.7109375" style="1" hidden="1" customWidth="1"/>
    <col min="25" max="25" width="9.140625" style="1"/>
    <col min="26" max="26" width="16.7109375" style="1" customWidth="1"/>
    <col min="27" max="27" width="35.7109375" style="1" customWidth="1"/>
    <col min="28" max="29" width="16.7109375" style="1" customWidth="1"/>
    <col min="30" max="30" width="20.7109375" style="1" customWidth="1"/>
    <col min="31" max="31" width="13.7109375" style="1" hidden="1" customWidth="1"/>
    <col min="32" max="32" width="12.7109375" style="1" customWidth="1"/>
    <col min="33" max="33" width="9.140625" style="1"/>
    <col min="34" max="34" width="16.7109375" style="1" customWidth="1"/>
    <col min="35" max="35" width="35.7109375" style="1" customWidth="1"/>
    <col min="36" max="36" width="12.7109375" style="1" customWidth="1"/>
    <col min="37" max="38" width="34.42578125" style="1" hidden="1" customWidth="1"/>
    <col min="39" max="39" width="9.140625" style="1"/>
    <col min="40" max="40" width="19.85546875" style="1" bestFit="1" customWidth="1"/>
    <col min="41" max="41" width="9.140625" style="1"/>
    <col min="42" max="16384" width="9.140625" style="2"/>
  </cols>
  <sheetData>
    <row r="1" spans="2:42" ht="24.95" customHeight="1" thickBot="1" x14ac:dyDescent="0.45"/>
    <row r="2" spans="2:42" ht="24.95" customHeight="1" x14ac:dyDescent="0.4">
      <c r="B2" s="317" t="str">
        <f>"Výsledky - Soutěže "&amp;Uvod!A5&amp;" kola NHHL "&amp;TEXT(Uvod!B5,"d.m. rrrr")&amp;" "&amp;Uvod!C5&amp;" - MUŽI "</f>
        <v xml:space="preserve">Výsledky - Soutěže 3. kola NHHL 9.6. 2023 Rohov - MUŽI </v>
      </c>
      <c r="C2" s="318"/>
      <c r="D2" s="318"/>
      <c r="E2" s="318"/>
      <c r="F2" s="318"/>
      <c r="G2" s="318"/>
      <c r="H2" s="318"/>
      <c r="I2" s="318"/>
      <c r="J2" s="318"/>
      <c r="K2" s="177"/>
      <c r="L2" s="177"/>
      <c r="M2" s="95"/>
      <c r="N2" s="308" t="str">
        <f>"Výsledky - Soutěže "&amp;Uvod!A5&amp;" kola NHHL "&amp;TEXT(Uvod!B5,"d.m. rrrr")&amp;" "&amp;Uvod!C5&amp;" - ŽENY "</f>
        <v xml:space="preserve">Výsledky - Soutěže 3. kola NHHL 9.6. 2023 Rohov - ŽENY </v>
      </c>
      <c r="O2" s="309"/>
      <c r="P2" s="309"/>
      <c r="Q2" s="309"/>
      <c r="R2" s="309"/>
      <c r="S2" s="309"/>
      <c r="T2" s="320"/>
      <c r="U2" s="320"/>
      <c r="V2" s="310"/>
      <c r="W2" s="180"/>
      <c r="X2" s="180"/>
      <c r="Z2" s="324" t="str">
        <f>B2</f>
        <v xml:space="preserve">Výsledky - Soutěže 3. kola NHHL 9.6. 2023 Rohov - MUŽI </v>
      </c>
      <c r="AA2" s="325"/>
      <c r="AB2" s="325"/>
      <c r="AC2" s="325"/>
      <c r="AD2" s="325"/>
      <c r="AE2" s="325"/>
      <c r="AF2" s="326"/>
      <c r="AH2" s="324" t="str">
        <f>"Pořadí po "&amp;Uvod!A5&amp;" kole NHHL - MUŽI"</f>
        <v>Pořadí po 3. kole NHHL - MUŽI</v>
      </c>
      <c r="AI2" s="325"/>
      <c r="AJ2" s="325"/>
      <c r="AK2" s="327"/>
      <c r="AL2" s="15"/>
    </row>
    <row r="3" spans="2:42" ht="24.95" customHeight="1" thickBot="1" x14ac:dyDescent="0.45">
      <c r="B3" s="165" t="s">
        <v>0</v>
      </c>
      <c r="C3" s="166" t="s">
        <v>1</v>
      </c>
      <c r="D3" s="166" t="s">
        <v>2</v>
      </c>
      <c r="E3" s="166" t="s">
        <v>3</v>
      </c>
      <c r="F3" s="166" t="s">
        <v>4</v>
      </c>
      <c r="G3" s="167" t="s">
        <v>5</v>
      </c>
      <c r="H3" s="167" t="s">
        <v>108</v>
      </c>
      <c r="I3" s="167" t="s">
        <v>103</v>
      </c>
      <c r="J3" s="20" t="s">
        <v>27</v>
      </c>
      <c r="N3" s="73" t="s">
        <v>0</v>
      </c>
      <c r="O3" s="74" t="s">
        <v>1</v>
      </c>
      <c r="P3" s="74" t="s">
        <v>2</v>
      </c>
      <c r="Q3" s="74" t="s">
        <v>3</v>
      </c>
      <c r="R3" s="74" t="s">
        <v>4</v>
      </c>
      <c r="S3" s="74" t="s">
        <v>5</v>
      </c>
      <c r="T3" s="86" t="s">
        <v>74</v>
      </c>
      <c r="U3" s="86" t="s">
        <v>73</v>
      </c>
      <c r="V3" s="29" t="s">
        <v>27</v>
      </c>
      <c r="Z3" s="58" t="s">
        <v>1</v>
      </c>
      <c r="AA3" s="59" t="s">
        <v>2</v>
      </c>
      <c r="AB3" s="59" t="s">
        <v>3</v>
      </c>
      <c r="AC3" s="59" t="s">
        <v>4</v>
      </c>
      <c r="AD3" s="59" t="s">
        <v>5</v>
      </c>
      <c r="AE3" s="59" t="s">
        <v>27</v>
      </c>
      <c r="AF3" s="60" t="s">
        <v>7</v>
      </c>
      <c r="AH3" s="58" t="s">
        <v>1</v>
      </c>
      <c r="AI3" s="59" t="s">
        <v>2</v>
      </c>
      <c r="AJ3" s="59" t="s">
        <v>7</v>
      </c>
      <c r="AK3" s="46" t="s">
        <v>27</v>
      </c>
      <c r="AL3" s="94" t="s">
        <v>73</v>
      </c>
      <c r="AM3" s="15"/>
      <c r="AP3" s="1"/>
    </row>
    <row r="4" spans="2:42" ht="24.95" customHeight="1" x14ac:dyDescent="0.45">
      <c r="B4" s="174" t="s">
        <v>51</v>
      </c>
      <c r="C4" s="65">
        <f>IF(Tabulka17101325[[#This Row],[ ]]="","",IF(Tabulka17101325[[#This Row],[ ]]="NEÚČAST","",IF(OR(Tabulka17101325[Výsledný čas]="N",Tabulka17101325[Výsledný čas]="D"),$L$4-$L$5,_xlfn.RANK.EQ(Tabulka17101325[[#This Row],[ ]],Tabulka17101325[[ ]],1))))</f>
        <v>1</v>
      </c>
      <c r="D4" s="172" t="s">
        <v>19</v>
      </c>
      <c r="E4" s="173">
        <v>15.317</v>
      </c>
      <c r="F4" s="173">
        <v>15.738</v>
      </c>
      <c r="G4" s="66">
        <f>IF(OR(Tabulka17101325[[#This Row],[LP]]="N",Tabulka17101325[[#This Row],[PP]]="N"),"N",IF(OR(Tabulka17101325[[#This Row],[LP]]="D",Tabulka17101325[[#This Row],[PP]]="D"),"D",IF(OR(Tabulka17101325[[#This Row],[LP]]="NEÚČAST",Tabulka17101325[[#This Row],[PP]]="NEÚČAST"),"NEÚČAST",IF(OR(Tabulka17101325[[#This Row],[LP]]="",Tabulka17101325[[#This Row],[PP]]=""),"",MAX(Tabulka17101325[[#This Row],[LP]:[PP]])))))</f>
        <v>15.738</v>
      </c>
      <c r="H4" s="9">
        <f>COUNTIF(Tabulka17101325[[#This Row],[Tým]],"*")</f>
        <v>1</v>
      </c>
      <c r="I4" s="9">
        <f>COUNTIF(Tabulka17101325[[#This Row],[Výsledný čas]],"NEÚČAST")</f>
        <v>0</v>
      </c>
      <c r="J4" s="9">
        <f>IF(Tabulka17101325[[#This Row],[Výsledný čas]]="N",998,IF(Tabulka17101325[[#This Row],[Výsledný čas]]="D",998,IF(Tabulka17101325[[#This Row],[Výsledný čas]]="","",Tabulka17101325[[#This Row],[Výsledný čas]])))</f>
        <v>15.738</v>
      </c>
      <c r="L4" s="1">
        <f>SUM(Tabulka17101325[ÚČAST])</f>
        <v>21</v>
      </c>
      <c r="N4" s="100" t="s">
        <v>104</v>
      </c>
      <c r="O4" s="80">
        <f>IF(Tabulka171013630[[#This Row],[ ]]="","",IF(Tabulka171013630[[#This Row],[ ]]="NEÚČAST","",IF(OR(Tabulka171013630[Výsledný čas]="N",Tabulka171013630[Výsledný čas]="D"),$X$4-$X$5,_xlfn.RANK.EQ(Tabulka171013630[[#This Row],[ ]],Tabulka171013630[[ ]],1))))</f>
        <v>1</v>
      </c>
      <c r="P4" s="104" t="s">
        <v>22</v>
      </c>
      <c r="Q4" s="170">
        <v>16.417999999999999</v>
      </c>
      <c r="R4" s="105">
        <v>16.762</v>
      </c>
      <c r="S4" s="81">
        <f>IF(OR(Tabulka171013630[[#This Row],[LP]]="N",Tabulka171013630[[#This Row],[PP]]="N"),"N",IF(OR(Tabulka171013630[[#This Row],[LP]]="D",Tabulka171013630[[#This Row],[PP]]="D"),"D",IF(OR(Tabulka171013630[[#This Row],[LP]]="NEÚČAST",Tabulka171013630[[#This Row],[PP]]="NEÚČAST"),"NEÚČAST",IF(OR(Tabulka171013630[[#This Row],[LP]]="",Tabulka171013630[[#This Row],[PP]]=""),"",MAX(Tabulka171013630[[#This Row],[LP]:[PP]])))))</f>
        <v>16.762</v>
      </c>
      <c r="T4" s="181">
        <f>COUNTIF(Tabulka171013630[[#This Row],[Tým]],"*")</f>
        <v>1</v>
      </c>
      <c r="U4" s="181">
        <f>COUNTIF(Tabulka171013630[[#This Row],[Výsledný čas]],"NEÚČAST")</f>
        <v>0</v>
      </c>
      <c r="V4" s="88">
        <f>IF(Tabulka171013630[[#This Row],[Výsledný čas]]="N",998,IF(Tabulka171013630[[#This Row],[Výsledný čas]]="D",998,IF(Tabulka171013630[[#This Row],[Výsledný čas]]="","",Tabulka171013630[[#This Row],[Výsledný čas]])))</f>
        <v>16.762</v>
      </c>
      <c r="X4" s="1">
        <f>SUM(Tabulka171013630[Sloupec2])</f>
        <v>12</v>
      </c>
      <c r="Z4" s="77">
        <f>IF(OR(Tabulka38111426[Výsledný čas]="N",Tabulka38111426[Výsledný čas]="D",Tabulka38111426[Výsledný čas]="NEÚČAST"),Uvod!$E$4,_xlfn.RANK.EQ(Tabulka38111426[[#This Row],[ ]],Tabulka38111426[[ ]],1))</f>
        <v>1</v>
      </c>
      <c r="AA4" s="78" t="s">
        <v>19</v>
      </c>
      <c r="AB4" s="79">
        <f>VLOOKUP(Tabulka38111426[[#This Row],[Tým]],Tabulka17101325[[Tým]:[ ]],2,FALSE)</f>
        <v>15.317</v>
      </c>
      <c r="AC4" s="79">
        <f>VLOOKUP(Tabulka38111426[[#This Row],[Tým]],Tabulka17101325[[Tým]:[ ]],3,FALSE)</f>
        <v>15.738</v>
      </c>
      <c r="AD4" s="80">
        <f>VLOOKUP(Tabulka38111426[[#This Row],[Tým]],Tabulka17101325[[Tým]:[ ]],4,FALSE)</f>
        <v>15.738</v>
      </c>
      <c r="AE4" s="80">
        <f>VLOOKUP(Tabulka38111426[[#This Row],[Tým]],Tabulka17101325[[Tým]:[ ]],7,FALSE)</f>
        <v>15.738</v>
      </c>
      <c r="AF4" s="81">
        <f>IF(Tabulka38111426[[#This Row],[Výsledný čas]]="N",5,IF(Tabulka38111426[[#This Row],[Výsledný čas]]="D",0,IF(Tabulka38111426[[#This Row],[Výsledný čas]]="NEÚČAST",0,Tabulka4[[#Totals],[Týmy muži]]+6-Tabulka38111426[[#This Row],[Umístění]])))</f>
        <v>24</v>
      </c>
      <c r="AH4" s="77">
        <f>_xlfn.RANK.EQ(Tabulka59121527[[#This Row],[Body]],Tabulka59121527[Body],0)</f>
        <v>1</v>
      </c>
      <c r="AI4" s="78" t="s">
        <v>19</v>
      </c>
      <c r="AJ4" s="187">
        <f>VLOOKUP(Tabulka59121527[[#This Row],[Tým]],Tabulka38111426[[Tým]:[Body]],6,FALSE)+Tabulka59121527[[#This Row],[ ]]</f>
        <v>72</v>
      </c>
      <c r="AK4" s="82">
        <f>VLOOKUP(Tabulka59121527[[#This Row],[Tým]],Tabulka591215[[Tým]:[Body]],2,FALSE)</f>
        <v>48</v>
      </c>
      <c r="AL4" s="92">
        <f>Tabulka59121527[[#This Row],[Umístění]]</f>
        <v>1</v>
      </c>
      <c r="AM4" s="15"/>
      <c r="AP4" s="1"/>
    </row>
    <row r="5" spans="2:42" ht="24.95" customHeight="1" x14ac:dyDescent="0.45">
      <c r="B5" s="175" t="s">
        <v>48</v>
      </c>
      <c r="C5" s="25">
        <f>IF(Tabulka17101325[[#This Row],[ ]]="","",IF(Tabulka17101325[[#This Row],[ ]]="NEÚČAST","",IF(OR(Tabulka17101325[Výsledný čas]="N",Tabulka17101325[Výsledný čas]="D"),$L$4-$L$5,_xlfn.RANK.EQ(Tabulka17101325[[#This Row],[ ]],Tabulka17101325[[ ]],1))))</f>
        <v>2</v>
      </c>
      <c r="D5" s="162" t="s">
        <v>10</v>
      </c>
      <c r="E5" s="120">
        <v>15.750999999999999</v>
      </c>
      <c r="F5" s="120">
        <v>15.478999999999999</v>
      </c>
      <c r="G5" s="29">
        <f>IF(OR(Tabulka17101325[[#This Row],[LP]]="N",Tabulka17101325[[#This Row],[PP]]="N"),"N",IF(OR(Tabulka17101325[[#This Row],[LP]]="D",Tabulka17101325[[#This Row],[PP]]="D"),"D",IF(OR(Tabulka17101325[[#This Row],[LP]]="NEÚČAST",Tabulka17101325[[#This Row],[PP]]="NEÚČAST"),"NEÚČAST",IF(OR(Tabulka17101325[[#This Row],[LP]]="",Tabulka17101325[[#This Row],[PP]]=""),"",MAX(Tabulka17101325[[#This Row],[LP]:[PP]])))))</f>
        <v>15.750999999999999</v>
      </c>
      <c r="H5" s="9">
        <f>COUNTIF(Tabulka17101325[[#This Row],[Tým]],"*")</f>
        <v>1</v>
      </c>
      <c r="I5" s="9">
        <f>COUNTIF(Tabulka17101325[[#This Row],[Výsledný čas]],"NEÚČAST")</f>
        <v>0</v>
      </c>
      <c r="J5" s="9">
        <f>IF(Tabulka17101325[[#This Row],[Výsledný čas]]="N",998,IF(Tabulka17101325[[#This Row],[Výsledný čas]]="D",998,IF(Tabulka17101325[[#This Row],[Výsledný čas]]="","",Tabulka17101325[[#This Row],[Výsledný čas]])))</f>
        <v>15.750999999999999</v>
      </c>
      <c r="L5" s="1">
        <f>SUM(Tabulka17101325[NEÚČAST])</f>
        <v>1</v>
      </c>
      <c r="N5" s="30" t="s">
        <v>61</v>
      </c>
      <c r="O5" s="25">
        <f>IF(Tabulka171013630[[#This Row],[ ]]="","",IF(Tabulka171013630[[#This Row],[ ]]="NEÚČAST","",IF(OR(Tabulka171013630[Výsledný čas]="N",Tabulka171013630[Výsledný čas]="D"),$X$4-$X$5,_xlfn.RANK.EQ(Tabulka171013630[[#This Row],[ ]],Tabulka171013630[[ ]],1))))</f>
        <v>2</v>
      </c>
      <c r="P5" s="26" t="s">
        <v>35</v>
      </c>
      <c r="Q5" s="5">
        <v>18.795999999999999</v>
      </c>
      <c r="R5" s="5">
        <v>18.382999999999999</v>
      </c>
      <c r="S5" s="29">
        <f>IF(OR(Tabulka171013630[[#This Row],[LP]]="N",Tabulka171013630[[#This Row],[PP]]="N"),"N",IF(OR(Tabulka171013630[[#This Row],[LP]]="D",Tabulka171013630[[#This Row],[PP]]="D"),"D",IF(OR(Tabulka171013630[[#This Row],[LP]]="NEÚČAST",Tabulka171013630[[#This Row],[PP]]="NEÚČAST"),"NEÚČAST",IF(OR(Tabulka171013630[[#This Row],[LP]]="",Tabulka171013630[[#This Row],[PP]]=""),"",MAX(Tabulka171013630[[#This Row],[LP]:[PP]])))))</f>
        <v>18.795999999999999</v>
      </c>
      <c r="T5" s="88">
        <f>COUNTIF(Tabulka171013630[[#This Row],[Tým]],"*")</f>
        <v>1</v>
      </c>
      <c r="U5" s="88">
        <f>COUNTIF(Tabulka171013630[[#This Row],[Výsledný čas]],"NEÚČAST")</f>
        <v>0</v>
      </c>
      <c r="V5" s="88">
        <f>IF(Tabulka171013630[[#This Row],[Výsledný čas]]="N",998,IF(Tabulka171013630[[#This Row],[Výsledný čas]]="D",998,IF(Tabulka171013630[[#This Row],[Výsledný čas]]="","",Tabulka171013630[[#This Row],[Výsledný čas]])))</f>
        <v>18.795999999999999</v>
      </c>
      <c r="X5" s="1">
        <f>SUM(Tabulka171013630[Sloupec1])</f>
        <v>0</v>
      </c>
      <c r="Z5" s="31">
        <f>IF(OR(Tabulka38111426[Výsledný čas]="N",Tabulka38111426[Výsledný čas]="D",Tabulka38111426[Výsledný čas]="NEÚČAST"),Uvod!$E$4,_xlfn.RANK.EQ(Tabulka38111426[[#This Row],[ ]],Tabulka38111426[[ ]],1))</f>
        <v>2</v>
      </c>
      <c r="AA5" s="51" t="s">
        <v>10</v>
      </c>
      <c r="AB5" s="44">
        <f>VLOOKUP(Tabulka38111426[[#This Row],[Tým]],Tabulka17101325[[Tým]:[ ]],2,FALSE)</f>
        <v>15.750999999999999</v>
      </c>
      <c r="AC5" s="44">
        <f>VLOOKUP(Tabulka38111426[[#This Row],[Tým]],Tabulka17101325[[Tým]:[ ]],3,FALSE)</f>
        <v>15.478999999999999</v>
      </c>
      <c r="AD5" s="25">
        <f>VLOOKUP(Tabulka38111426[[#This Row],[Tým]],Tabulka17101325[[Tým]:[ ]],4,FALSE)</f>
        <v>15.750999999999999</v>
      </c>
      <c r="AE5" s="25">
        <f>VLOOKUP(Tabulka38111426[[#This Row],[Tým]],Tabulka17101325[[Tým]:[ ]],7,FALSE)</f>
        <v>15.750999999999999</v>
      </c>
      <c r="AF5" s="29">
        <f>IF(Tabulka38111426[[#This Row],[Výsledný čas]]="N",5,IF(Tabulka38111426[[#This Row],[Výsledný čas]]="D",0,IF(Tabulka38111426[[#This Row],[Výsledný čas]]="NEÚČAST",0,Tabulka4[[#Totals],[Týmy muži]]+6-Tabulka38111426[[#This Row],[Umístění]])))</f>
        <v>23</v>
      </c>
      <c r="AH5" s="31">
        <f>_xlfn.RANK.EQ(Tabulka59121527[[#This Row],[Body]],Tabulka59121527[Body],0)</f>
        <v>2</v>
      </c>
      <c r="AI5" s="51" t="s">
        <v>22</v>
      </c>
      <c r="AJ5" s="188">
        <f>VLOOKUP(Tabulka59121527[[#This Row],[Tým]],Tabulka38111426[[Tým]:[Body]],6,FALSE)+Tabulka59121527[[#This Row],[ ]]</f>
        <v>61</v>
      </c>
      <c r="AK5" s="82">
        <f>VLOOKUP(Tabulka59121527[[#This Row],[Tým]],Tabulka591215[[Tým]:[Body]],2,FALSE)</f>
        <v>41</v>
      </c>
      <c r="AL5" s="92">
        <f>Tabulka59121527[[#This Row],[Umístění]]</f>
        <v>2</v>
      </c>
      <c r="AM5" s="15"/>
      <c r="AP5" s="1"/>
    </row>
    <row r="6" spans="2:42" ht="24.95" customHeight="1" x14ac:dyDescent="0.45">
      <c r="B6" s="176" t="s">
        <v>55</v>
      </c>
      <c r="C6" s="25">
        <f>IF(Tabulka17101325[[#This Row],[ ]]="","",IF(Tabulka17101325[[#This Row],[ ]]="NEÚČAST","",IF(OR(Tabulka17101325[Výsledný čas]="N",Tabulka17101325[Výsledný čas]="D"),$L$4-$L$5,_xlfn.RANK.EQ(Tabulka17101325[[#This Row],[ ]],Tabulka17101325[[ ]],1))))</f>
        <v>3</v>
      </c>
      <c r="D6" s="162" t="s">
        <v>23</v>
      </c>
      <c r="E6" s="122">
        <v>15.223000000000001</v>
      </c>
      <c r="F6" s="120">
        <v>15.760999999999999</v>
      </c>
      <c r="G6" s="29">
        <f>IF(OR(Tabulka17101325[[#This Row],[LP]]="N",Tabulka17101325[[#This Row],[PP]]="N"),"N",IF(OR(Tabulka17101325[[#This Row],[LP]]="D",Tabulka17101325[[#This Row],[PP]]="D"),"D",IF(OR(Tabulka17101325[[#This Row],[LP]]="NEÚČAST",Tabulka17101325[[#This Row],[PP]]="NEÚČAST"),"NEÚČAST",IF(OR(Tabulka17101325[[#This Row],[LP]]="",Tabulka17101325[[#This Row],[PP]]=""),"",MAX(Tabulka17101325[[#This Row],[LP]:[PP]])))))</f>
        <v>15.760999999999999</v>
      </c>
      <c r="H6" s="9">
        <f>COUNTIF(Tabulka17101325[[#This Row],[Tým]],"*")</f>
        <v>1</v>
      </c>
      <c r="I6" s="9">
        <f>COUNTIF(Tabulka17101325[[#This Row],[Výsledný čas]],"NEÚČAST")</f>
        <v>0</v>
      </c>
      <c r="J6" s="9">
        <f>IF(Tabulka17101325[[#This Row],[Výsledný čas]]="N",998,IF(Tabulka17101325[[#This Row],[Výsledný čas]]="D",998,IF(Tabulka17101325[[#This Row],[Výsledný čas]]="","",Tabulka17101325[[#This Row],[Výsledný čas]])))</f>
        <v>15.760999999999999</v>
      </c>
      <c r="N6" s="30" t="s">
        <v>50</v>
      </c>
      <c r="O6" s="25">
        <f>IF(Tabulka171013630[[#This Row],[ ]]="","",IF(Tabulka171013630[[#This Row],[ ]]="NEÚČAST","",IF(OR(Tabulka171013630[Výsledný čas]="N",Tabulka171013630[Výsledný čas]="D"),$X$4-$X$5,_xlfn.RANK.EQ(Tabulka171013630[[#This Row],[ ]],Tabulka171013630[[ ]],1))))</f>
        <v>3</v>
      </c>
      <c r="P6" s="26" t="s">
        <v>34</v>
      </c>
      <c r="Q6" s="5">
        <v>20.209</v>
      </c>
      <c r="R6" s="5">
        <v>17.827999999999999</v>
      </c>
      <c r="S6" s="29">
        <f>IF(OR(Tabulka171013630[[#This Row],[LP]]="N",Tabulka171013630[[#This Row],[PP]]="N"),"N",IF(OR(Tabulka171013630[[#This Row],[LP]]="D",Tabulka171013630[[#This Row],[PP]]="D"),"D",IF(OR(Tabulka171013630[[#This Row],[LP]]="NEÚČAST",Tabulka171013630[[#This Row],[PP]]="NEÚČAST"),"NEÚČAST",IF(OR(Tabulka171013630[[#This Row],[LP]]="",Tabulka171013630[[#This Row],[PP]]=""),"",MAX(Tabulka171013630[[#This Row],[LP]:[PP]])))))</f>
        <v>20.209</v>
      </c>
      <c r="T6" s="88">
        <f>COUNTIF(Tabulka171013630[[#This Row],[Tým]],"*")</f>
        <v>1</v>
      </c>
      <c r="U6" s="88">
        <f>COUNTIF(Tabulka171013630[[#This Row],[Výsledný čas]],"NEÚČAST")</f>
        <v>0</v>
      </c>
      <c r="V6" s="88">
        <f>IF(Tabulka171013630[[#This Row],[Výsledný čas]]="N",998,IF(Tabulka171013630[[#This Row],[Výsledný čas]]="D",998,IF(Tabulka171013630[[#This Row],[Výsledný čas]]="","",Tabulka171013630[[#This Row],[Výsledný čas]])))</f>
        <v>20.209</v>
      </c>
      <c r="Z6" s="31">
        <f>IF(OR(Tabulka38111426[Výsledný čas]="N",Tabulka38111426[Výsledný čas]="D",Tabulka38111426[Výsledný čas]="NEÚČAST"),Uvod!$E$4,_xlfn.RANK.EQ(Tabulka38111426[[#This Row],[ ]],Tabulka38111426[[ ]],1))</f>
        <v>3</v>
      </c>
      <c r="AA6" s="51" t="s">
        <v>23</v>
      </c>
      <c r="AB6" s="44">
        <f>VLOOKUP(Tabulka38111426[[#This Row],[Tým]],Tabulka17101325[[Tým]:[ ]],2,FALSE)</f>
        <v>15.223000000000001</v>
      </c>
      <c r="AC6" s="44">
        <f>VLOOKUP(Tabulka38111426[[#This Row],[Tým]],Tabulka17101325[[Tým]:[ ]],3,FALSE)</f>
        <v>15.760999999999999</v>
      </c>
      <c r="AD6" s="25">
        <f>VLOOKUP(Tabulka38111426[[#This Row],[Tým]],Tabulka17101325[[Tým]:[ ]],4,FALSE)</f>
        <v>15.760999999999999</v>
      </c>
      <c r="AE6" s="25">
        <f>VLOOKUP(Tabulka38111426[[#This Row],[Tým]],Tabulka17101325[[Tým]:[ ]],7,FALSE)</f>
        <v>15.760999999999999</v>
      </c>
      <c r="AF6" s="29">
        <f>IF(Tabulka38111426[[#This Row],[Výsledný čas]]="N",5,IF(Tabulka38111426[[#This Row],[Výsledný čas]]="D",0,IF(Tabulka38111426[[#This Row],[Výsledný čas]]="NEÚČAST",0,Tabulka4[[#Totals],[Týmy muži]]+6-Tabulka38111426[[#This Row],[Umístění]])))</f>
        <v>22</v>
      </c>
      <c r="AH6" s="31">
        <f>_xlfn.RANK.EQ(Tabulka59121527[[#This Row],[Body]],Tabulka59121527[Body],0)</f>
        <v>3</v>
      </c>
      <c r="AI6" s="51" t="s">
        <v>10</v>
      </c>
      <c r="AJ6" s="188">
        <f>VLOOKUP(Tabulka59121527[[#This Row],[Tým]],Tabulka38111426[[Tým]:[Body]],6,FALSE)+Tabulka59121527[[#This Row],[ ]]</f>
        <v>59</v>
      </c>
      <c r="AK6" s="82">
        <f>VLOOKUP(Tabulka59121527[[#This Row],[Tým]],Tabulka591215[[Tým]:[Body]],2,FALSE)</f>
        <v>36</v>
      </c>
      <c r="AL6" s="92">
        <f>Tabulka59121527[[#This Row],[Umístění]]</f>
        <v>3</v>
      </c>
      <c r="AM6" s="15"/>
      <c r="AP6" s="1"/>
    </row>
    <row r="7" spans="2:42" ht="24.95" customHeight="1" x14ac:dyDescent="0.45">
      <c r="B7" s="175" t="s">
        <v>60</v>
      </c>
      <c r="C7" s="25">
        <f>IF(Tabulka17101325[[#This Row],[ ]]="","",IF(Tabulka17101325[[#This Row],[ ]]="NEÚČAST","",IF(OR(Tabulka17101325[Výsledný čas]="N",Tabulka17101325[Výsledný čas]="D"),$L$4-$L$5,_xlfn.RANK.EQ(Tabulka17101325[[#This Row],[ ]],Tabulka17101325[[ ]],1))))</f>
        <v>4</v>
      </c>
      <c r="D7" s="162" t="s">
        <v>30</v>
      </c>
      <c r="E7" s="120">
        <v>15.26</v>
      </c>
      <c r="F7" s="120">
        <v>15.891999999999999</v>
      </c>
      <c r="G7" s="29">
        <f>IF(OR(Tabulka17101325[[#This Row],[LP]]="N",Tabulka17101325[[#This Row],[PP]]="N"),"N",IF(OR(Tabulka17101325[[#This Row],[LP]]="D",Tabulka17101325[[#This Row],[PP]]="D"),"D",IF(OR(Tabulka17101325[[#This Row],[LP]]="NEÚČAST",Tabulka17101325[[#This Row],[PP]]="NEÚČAST"),"NEÚČAST",IF(OR(Tabulka17101325[[#This Row],[LP]]="",Tabulka17101325[[#This Row],[PP]]=""),"",MAX(Tabulka17101325[[#This Row],[LP]:[PP]])))))</f>
        <v>15.891999999999999</v>
      </c>
      <c r="H7" s="9">
        <f>COUNTIF(Tabulka17101325[[#This Row],[Tým]],"*")</f>
        <v>1</v>
      </c>
      <c r="I7" s="9">
        <f>COUNTIF(Tabulka17101325[[#This Row],[Výsledný čas]],"NEÚČAST")</f>
        <v>0</v>
      </c>
      <c r="J7" s="9">
        <f>IF(Tabulka17101325[[#This Row],[Výsledný čas]]="N",998,IF(Tabulka17101325[[#This Row],[Výsledný čas]]="D",998,IF(Tabulka17101325[[#This Row],[Výsledný čas]]="","",Tabulka17101325[[#This Row],[Výsledný čas]])))</f>
        <v>15.891999999999999</v>
      </c>
      <c r="N7" s="31" t="s">
        <v>69</v>
      </c>
      <c r="O7" s="25">
        <f>IF(Tabulka171013630[[#This Row],[ ]]="","",IF(Tabulka171013630[[#This Row],[ ]]="NEÚČAST","",IF(OR(Tabulka171013630[Výsledný čas]="N",Tabulka171013630[Výsledný čas]="D"),$X$4-$X$5,_xlfn.RANK.EQ(Tabulka171013630[[#This Row],[ ]],Tabulka171013630[[ ]],1))))</f>
        <v>4</v>
      </c>
      <c r="P7" s="26" t="s">
        <v>16</v>
      </c>
      <c r="Q7" s="5">
        <v>20.37</v>
      </c>
      <c r="R7" s="5">
        <v>20.931000000000001</v>
      </c>
      <c r="S7" s="29">
        <f>IF(OR(Tabulka171013630[[#This Row],[LP]]="N",Tabulka171013630[[#This Row],[PP]]="N"),"N",IF(OR(Tabulka171013630[[#This Row],[LP]]="D",Tabulka171013630[[#This Row],[PP]]="D"),"D",IF(OR(Tabulka171013630[[#This Row],[LP]]="NEÚČAST",Tabulka171013630[[#This Row],[PP]]="NEÚČAST"),"NEÚČAST",IF(OR(Tabulka171013630[[#This Row],[LP]]="",Tabulka171013630[[#This Row],[PP]]=""),"",MAX(Tabulka171013630[[#This Row],[LP]:[PP]])))))</f>
        <v>20.931000000000001</v>
      </c>
      <c r="T7" s="88">
        <f>COUNTIF(Tabulka171013630[[#This Row],[Tým]],"*")</f>
        <v>1</v>
      </c>
      <c r="U7" s="88">
        <f>COUNTIF(Tabulka171013630[[#This Row],[Výsledný čas]],"NEÚČAST")</f>
        <v>0</v>
      </c>
      <c r="V7" s="88">
        <f>IF(Tabulka171013630[[#This Row],[Výsledný čas]]="N",998,IF(Tabulka171013630[[#This Row],[Výsledný čas]]="D",998,IF(Tabulka171013630[[#This Row],[Výsledný čas]]="","",Tabulka171013630[[#This Row],[Výsledný čas]])))</f>
        <v>20.931000000000001</v>
      </c>
      <c r="Z7" s="31">
        <f>IF(OR(Tabulka38111426[Výsledný čas]="N",Tabulka38111426[Výsledný čas]="D",Tabulka38111426[Výsledný čas]="NEÚČAST"),Uvod!$E$4,_xlfn.RANK.EQ(Tabulka38111426[[#This Row],[ ]],Tabulka38111426[[ ]],1))</f>
        <v>4</v>
      </c>
      <c r="AA7" s="51" t="s">
        <v>30</v>
      </c>
      <c r="AB7" s="44">
        <f>VLOOKUP(Tabulka38111426[[#This Row],[Tým]],Tabulka17101325[[Tým]:[ ]],2,FALSE)</f>
        <v>15.26</v>
      </c>
      <c r="AC7" s="44">
        <f>VLOOKUP(Tabulka38111426[[#This Row],[Tým]],Tabulka17101325[[Tým]:[ ]],3,FALSE)</f>
        <v>15.891999999999999</v>
      </c>
      <c r="AD7" s="25">
        <f>VLOOKUP(Tabulka38111426[[#This Row],[Tým]],Tabulka17101325[[Tým]:[ ]],4,FALSE)</f>
        <v>15.891999999999999</v>
      </c>
      <c r="AE7" s="25">
        <f>VLOOKUP(Tabulka38111426[[#This Row],[Tým]],Tabulka17101325[[Tým]:[ ]],7,FALSE)</f>
        <v>15.891999999999999</v>
      </c>
      <c r="AF7" s="29">
        <f>IF(Tabulka38111426[[#This Row],[Výsledný čas]]="N",5,IF(Tabulka38111426[[#This Row],[Výsledný čas]]="D",0,IF(Tabulka38111426[[#This Row],[Výsledný čas]]="NEÚČAST",0,Tabulka4[[#Totals],[Týmy muži]]+6-Tabulka38111426[[#This Row],[Umístění]])))</f>
        <v>21</v>
      </c>
      <c r="AH7" s="31">
        <f>_xlfn.RANK.EQ(Tabulka59121527[[#This Row],[Body]],Tabulka59121527[Body],0)</f>
        <v>3</v>
      </c>
      <c r="AI7" s="51" t="s">
        <v>23</v>
      </c>
      <c r="AJ7" s="188">
        <f>VLOOKUP(Tabulka59121527[[#This Row],[Tým]],Tabulka38111426[[Tým]:[Body]],6,FALSE)+Tabulka59121527[[#This Row],[ ]]</f>
        <v>59</v>
      </c>
      <c r="AK7" s="82">
        <f>VLOOKUP(Tabulka59121527[[#This Row],[Tým]],Tabulka591215[[Tým]:[Body]],2,FALSE)</f>
        <v>37</v>
      </c>
      <c r="AL7" s="92">
        <f>Tabulka59121527[[#This Row],[Umístění]]</f>
        <v>3</v>
      </c>
      <c r="AM7" s="15"/>
      <c r="AP7" s="1"/>
    </row>
    <row r="8" spans="2:42" ht="24.95" customHeight="1" x14ac:dyDescent="0.45">
      <c r="B8" s="175" t="s">
        <v>52</v>
      </c>
      <c r="C8" s="25">
        <f>IF(Tabulka17101325[[#This Row],[ ]]="","",IF(Tabulka17101325[[#This Row],[ ]]="NEÚČAST","",IF(OR(Tabulka17101325[Výsledný čas]="N",Tabulka17101325[Výsledný čas]="D"),$L$4-$L$5,_xlfn.RANK.EQ(Tabulka17101325[[#This Row],[ ]],Tabulka17101325[[ ]],1))))</f>
        <v>5</v>
      </c>
      <c r="D8" s="162" t="s">
        <v>22</v>
      </c>
      <c r="E8" s="171">
        <v>15.148</v>
      </c>
      <c r="F8" s="121">
        <v>16.099</v>
      </c>
      <c r="G8" s="29">
        <f>IF(OR(Tabulka17101325[[#This Row],[LP]]="N",Tabulka17101325[[#This Row],[PP]]="N"),"N",IF(OR(Tabulka17101325[[#This Row],[LP]]="D",Tabulka17101325[[#This Row],[PP]]="D"),"D",IF(OR(Tabulka17101325[[#This Row],[LP]]="NEÚČAST",Tabulka17101325[[#This Row],[PP]]="NEÚČAST"),"NEÚČAST",IF(OR(Tabulka17101325[[#This Row],[LP]]="",Tabulka17101325[[#This Row],[PP]]=""),"",MAX(Tabulka17101325[[#This Row],[LP]:[PP]])))))</f>
        <v>16.099</v>
      </c>
      <c r="H8" s="9">
        <f>COUNTIF(Tabulka17101325[[#This Row],[Tým]],"*")</f>
        <v>1</v>
      </c>
      <c r="I8" s="9">
        <f>COUNTIF(Tabulka17101325[[#This Row],[Výsledný čas]],"NEÚČAST")</f>
        <v>0</v>
      </c>
      <c r="J8" s="9">
        <f>IF(Tabulka17101325[[#This Row],[Výsledný čas]]="N",998,IF(Tabulka17101325[[#This Row],[Výsledný čas]]="D",998,IF(Tabulka17101325[[#This Row],[Výsledný čas]]="","",Tabulka17101325[[#This Row],[Výsledný čas]])))</f>
        <v>16.099</v>
      </c>
      <c r="N8" s="31" t="s">
        <v>49</v>
      </c>
      <c r="O8" s="25">
        <f>IF(Tabulka171013630[[#This Row],[ ]]="","",IF(Tabulka171013630[[#This Row],[ ]]="NEÚČAST","",IF(OR(Tabulka171013630[Výsledný čas]="N",Tabulka171013630[Výsledný čas]="D"),$X$4-$X$5,_xlfn.RANK.EQ(Tabulka171013630[[#This Row],[ ]],Tabulka171013630[[ ]],1))))</f>
        <v>5</v>
      </c>
      <c r="P8" s="26" t="s">
        <v>19</v>
      </c>
      <c r="Q8" s="5">
        <v>21.542000000000002</v>
      </c>
      <c r="R8" s="5">
        <v>21.526</v>
      </c>
      <c r="S8" s="29">
        <f>IF(OR(Tabulka171013630[[#This Row],[LP]]="N",Tabulka171013630[[#This Row],[PP]]="N"),"N",IF(OR(Tabulka171013630[[#This Row],[LP]]="D",Tabulka171013630[[#This Row],[PP]]="D"),"D",IF(OR(Tabulka171013630[[#This Row],[LP]]="NEÚČAST",Tabulka171013630[[#This Row],[PP]]="NEÚČAST"),"NEÚČAST",IF(OR(Tabulka171013630[[#This Row],[LP]]="",Tabulka171013630[[#This Row],[PP]]=""),"",MAX(Tabulka171013630[[#This Row],[LP]:[PP]])))))</f>
        <v>21.542000000000002</v>
      </c>
      <c r="T8" s="88">
        <f>COUNTIF(Tabulka171013630[[#This Row],[Tým]],"*")</f>
        <v>1</v>
      </c>
      <c r="U8" s="88">
        <f>COUNTIF(Tabulka171013630[[#This Row],[Výsledný čas]],"NEÚČAST")</f>
        <v>0</v>
      </c>
      <c r="V8" s="88">
        <f>IF(Tabulka171013630[[#This Row],[Výsledný čas]]="N",998,IF(Tabulka171013630[[#This Row],[Výsledný čas]]="D",998,IF(Tabulka171013630[[#This Row],[Výsledný čas]]="","",Tabulka171013630[[#This Row],[Výsledný čas]])))</f>
        <v>21.542000000000002</v>
      </c>
      <c r="Z8" s="31">
        <f>IF(OR(Tabulka38111426[Výsledný čas]="N",Tabulka38111426[Výsledný čas]="D",Tabulka38111426[Výsledný čas]="NEÚČAST"),Uvod!$E$4,_xlfn.RANK.EQ(Tabulka38111426[[#This Row],[ ]],Tabulka38111426[[ ]],1))</f>
        <v>5</v>
      </c>
      <c r="AA8" s="51" t="s">
        <v>22</v>
      </c>
      <c r="AB8" s="44">
        <f>VLOOKUP(Tabulka38111426[[#This Row],[Tým]],Tabulka17101325[[Tým]:[ ]],2,FALSE)</f>
        <v>15.148</v>
      </c>
      <c r="AC8" s="44">
        <f>VLOOKUP(Tabulka38111426[[#This Row],[Tým]],Tabulka17101325[[Tým]:[ ]],3,FALSE)</f>
        <v>16.099</v>
      </c>
      <c r="AD8" s="25">
        <f>VLOOKUP(Tabulka38111426[[#This Row],[Tým]],Tabulka17101325[[Tým]:[ ]],4,FALSE)</f>
        <v>16.099</v>
      </c>
      <c r="AE8" s="25">
        <f>VLOOKUP(Tabulka38111426[[#This Row],[Tým]],Tabulka17101325[[Tým]:[ ]],7,FALSE)</f>
        <v>16.099</v>
      </c>
      <c r="AF8" s="29">
        <f>IF(Tabulka38111426[[#This Row],[Výsledný čas]]="N",5,IF(Tabulka38111426[[#This Row],[Výsledný čas]]="D",0,IF(Tabulka38111426[[#This Row],[Výsledný čas]]="NEÚČAST",0,Tabulka4[[#Totals],[Týmy muži]]+6-Tabulka38111426[[#This Row],[Umístění]])))</f>
        <v>20</v>
      </c>
      <c r="AH8" s="31">
        <f>_xlfn.RANK.EQ(Tabulka59121527[[#This Row],[Body]],Tabulka59121527[Body],0)</f>
        <v>5</v>
      </c>
      <c r="AI8" s="51" t="s">
        <v>20</v>
      </c>
      <c r="AJ8" s="188">
        <f>VLOOKUP(Tabulka59121527[[#This Row],[Tým]],Tabulka38111426[[Tým]:[Body]],6,FALSE)+Tabulka59121527[[#This Row],[ ]]</f>
        <v>52</v>
      </c>
      <c r="AK8" s="82">
        <f>VLOOKUP(Tabulka59121527[[#This Row],[Tým]],Tabulka591215[[Tým]:[Body]],2,FALSE)</f>
        <v>43</v>
      </c>
      <c r="AL8" s="92">
        <f>Tabulka59121527[[#This Row],[Umístění]]</f>
        <v>5</v>
      </c>
      <c r="AM8" s="15"/>
      <c r="AP8" s="1"/>
    </row>
    <row r="9" spans="2:42" ht="24.95" customHeight="1" x14ac:dyDescent="0.45">
      <c r="B9" s="175" t="s">
        <v>46</v>
      </c>
      <c r="C9" s="25">
        <f>IF(Tabulka17101325[[#This Row],[ ]]="","",IF(Tabulka17101325[[#This Row],[ ]]="NEÚČAST","",IF(OR(Tabulka17101325[Výsledný čas]="N",Tabulka17101325[Výsledný čas]="D"),$L$4-$L$5,_xlfn.RANK.EQ(Tabulka17101325[[#This Row],[ ]],Tabulka17101325[[ ]],1))))</f>
        <v>6</v>
      </c>
      <c r="D9" s="162" t="s">
        <v>32</v>
      </c>
      <c r="E9" s="120">
        <v>16.78</v>
      </c>
      <c r="F9" s="120">
        <v>17.472000000000001</v>
      </c>
      <c r="G9" s="29">
        <f>IF(OR(Tabulka17101325[[#This Row],[LP]]="N",Tabulka17101325[[#This Row],[PP]]="N"),"N",IF(OR(Tabulka17101325[[#This Row],[LP]]="D",Tabulka17101325[[#This Row],[PP]]="D"),"D",IF(OR(Tabulka17101325[[#This Row],[LP]]="NEÚČAST",Tabulka17101325[[#This Row],[PP]]="NEÚČAST"),"NEÚČAST",IF(OR(Tabulka17101325[[#This Row],[LP]]="",Tabulka17101325[[#This Row],[PP]]=""),"",MAX(Tabulka17101325[[#This Row],[LP]:[PP]])))))</f>
        <v>17.472000000000001</v>
      </c>
      <c r="H9" s="9">
        <f>COUNTIF(Tabulka17101325[[#This Row],[Tým]],"*")</f>
        <v>1</v>
      </c>
      <c r="I9" s="9">
        <f>COUNTIF(Tabulka17101325[[#This Row],[Výsledný čas]],"NEÚČAST")</f>
        <v>0</v>
      </c>
      <c r="J9" s="9">
        <f>IF(Tabulka17101325[[#This Row],[Výsledný čas]]="N",998,IF(Tabulka17101325[[#This Row],[Výsledný čas]]="D",998,IF(Tabulka17101325[[#This Row],[Výsledný čas]]="","",Tabulka17101325[[#This Row],[Výsledný čas]])))</f>
        <v>17.472000000000001</v>
      </c>
      <c r="N9" s="30" t="s">
        <v>62</v>
      </c>
      <c r="O9" s="25">
        <f>IF(Tabulka171013630[[#This Row],[ ]]="","",IF(Tabulka171013630[[#This Row],[ ]]="NEÚČAST","",IF(OR(Tabulka171013630[Výsledný čas]="N",Tabulka171013630[Výsledný čas]="D"),$X$4-$X$5,_xlfn.RANK.EQ(Tabulka171013630[[#This Row],[ ]],Tabulka171013630[[ ]],1))))</f>
        <v>6</v>
      </c>
      <c r="P9" s="26" t="s">
        <v>18</v>
      </c>
      <c r="Q9" s="5">
        <v>22.593</v>
      </c>
      <c r="R9" s="5">
        <v>19.266999999999999</v>
      </c>
      <c r="S9" s="29">
        <f>IF(OR(Tabulka171013630[[#This Row],[LP]]="N",Tabulka171013630[[#This Row],[PP]]="N"),"N",IF(OR(Tabulka171013630[[#This Row],[LP]]="D",Tabulka171013630[[#This Row],[PP]]="D"),"D",IF(OR(Tabulka171013630[[#This Row],[LP]]="NEÚČAST",Tabulka171013630[[#This Row],[PP]]="NEÚČAST"),"NEÚČAST",IF(OR(Tabulka171013630[[#This Row],[LP]]="",Tabulka171013630[[#This Row],[PP]]=""),"",MAX(Tabulka171013630[[#This Row],[LP]:[PP]])))))</f>
        <v>22.593</v>
      </c>
      <c r="T9" s="88">
        <f>COUNTIF(Tabulka171013630[[#This Row],[Tým]],"*")</f>
        <v>1</v>
      </c>
      <c r="U9" s="88">
        <f>COUNTIF(Tabulka171013630[[#This Row],[Výsledný čas]],"NEÚČAST")</f>
        <v>0</v>
      </c>
      <c r="V9" s="88">
        <f>IF(Tabulka171013630[[#This Row],[Výsledný čas]]="N",998,IF(Tabulka171013630[[#This Row],[Výsledný čas]]="D",998,IF(Tabulka171013630[[#This Row],[Výsledný čas]]="","",Tabulka171013630[[#This Row],[Výsledný čas]])))</f>
        <v>22.593</v>
      </c>
      <c r="Z9" s="31">
        <f>IF(OR(Tabulka38111426[Výsledný čas]="N",Tabulka38111426[Výsledný čas]="D",Tabulka38111426[Výsledný čas]="NEÚČAST"),Uvod!$E$4,_xlfn.RANK.EQ(Tabulka38111426[[#This Row],[ ]],Tabulka38111426[[ ]],1))</f>
        <v>6</v>
      </c>
      <c r="AA9" s="51" t="s">
        <v>32</v>
      </c>
      <c r="AB9" s="44">
        <f>VLOOKUP(Tabulka38111426[[#This Row],[Tým]],Tabulka17101325[[Tým]:[ ]],2,FALSE)</f>
        <v>16.78</v>
      </c>
      <c r="AC9" s="44">
        <f>VLOOKUP(Tabulka38111426[[#This Row],[Tým]],Tabulka17101325[[Tým]:[ ]],3,FALSE)</f>
        <v>17.472000000000001</v>
      </c>
      <c r="AD9" s="25">
        <f>VLOOKUP(Tabulka38111426[[#This Row],[Tým]],Tabulka17101325[[Tým]:[ ]],4,FALSE)</f>
        <v>17.472000000000001</v>
      </c>
      <c r="AE9" s="25">
        <f>VLOOKUP(Tabulka38111426[[#This Row],[Tým]],Tabulka17101325[[Tým]:[ ]],7,FALSE)</f>
        <v>17.472000000000001</v>
      </c>
      <c r="AF9" s="29">
        <f>IF(Tabulka38111426[[#This Row],[Výsledný čas]]="N",5,IF(Tabulka38111426[[#This Row],[Výsledný čas]]="D",0,IF(Tabulka38111426[[#This Row],[Výsledný čas]]="NEÚČAST",0,Tabulka4[[#Totals],[Týmy muži]]+6-Tabulka38111426[[#This Row],[Umístění]])))</f>
        <v>19</v>
      </c>
      <c r="AH9" s="31">
        <f>_xlfn.RANK.EQ(Tabulka59121527[[#This Row],[Body]],Tabulka59121527[Body],0)</f>
        <v>6</v>
      </c>
      <c r="AI9" s="51" t="s">
        <v>30</v>
      </c>
      <c r="AJ9" s="188">
        <f>VLOOKUP(Tabulka59121527[[#This Row],[Tým]],Tabulka38111426[[Tým]:[Body]],6,FALSE)+Tabulka59121527[[#This Row],[ ]]</f>
        <v>49</v>
      </c>
      <c r="AK9" s="82">
        <f>VLOOKUP(Tabulka59121527[[#This Row],[Tým]],Tabulka591215[[Tým]:[Body]],2,FALSE)</f>
        <v>28</v>
      </c>
      <c r="AL9" s="92">
        <f>Tabulka59121527[[#This Row],[Umístění]]</f>
        <v>6</v>
      </c>
      <c r="AM9" s="15"/>
      <c r="AP9" s="1"/>
    </row>
    <row r="10" spans="2:42" ht="24.95" customHeight="1" x14ac:dyDescent="0.45">
      <c r="B10" s="175" t="s">
        <v>58</v>
      </c>
      <c r="C10" s="25">
        <f>IF(Tabulka17101325[[#This Row],[ ]]="","",IF(Tabulka17101325[[#This Row],[ ]]="NEÚČAST","",IF(OR(Tabulka17101325[Výsledný čas]="N",Tabulka17101325[Výsledný čas]="D"),$L$4-$L$5,_xlfn.RANK.EQ(Tabulka17101325[[#This Row],[ ]],Tabulka17101325[[ ]],1))))</f>
        <v>7</v>
      </c>
      <c r="D10" s="162" t="s">
        <v>12</v>
      </c>
      <c r="E10" s="120">
        <v>16.977</v>
      </c>
      <c r="F10" s="120">
        <v>17.73</v>
      </c>
      <c r="G10" s="29">
        <f>IF(OR(Tabulka17101325[[#This Row],[LP]]="N",Tabulka17101325[[#This Row],[PP]]="N"),"N",IF(OR(Tabulka17101325[[#This Row],[LP]]="D",Tabulka17101325[[#This Row],[PP]]="D"),"D",IF(OR(Tabulka17101325[[#This Row],[LP]]="NEÚČAST",Tabulka17101325[[#This Row],[PP]]="NEÚČAST"),"NEÚČAST",IF(OR(Tabulka17101325[[#This Row],[LP]]="",Tabulka17101325[[#This Row],[PP]]=""),"",MAX(Tabulka17101325[[#This Row],[LP]:[PP]])))))</f>
        <v>17.73</v>
      </c>
      <c r="H10" s="9">
        <f>COUNTIF(Tabulka17101325[[#This Row],[Tým]],"*")</f>
        <v>1</v>
      </c>
      <c r="I10" s="9">
        <f>COUNTIF(Tabulka17101325[[#This Row],[Výsledný čas]],"NEÚČAST")</f>
        <v>0</v>
      </c>
      <c r="J10" s="9">
        <f>IF(Tabulka17101325[[#This Row],[Výsledný čas]]="N",998,IF(Tabulka17101325[[#This Row],[Výsledný čas]]="D",998,IF(Tabulka17101325[[#This Row],[Výsledný čas]]="","",Tabulka17101325[[#This Row],[Výsledný čas]])))</f>
        <v>17.73</v>
      </c>
      <c r="N10" s="107" t="s">
        <v>105</v>
      </c>
      <c r="O10" s="25">
        <f>IF(Tabulka171013630[[#This Row],[ ]]="","",IF(Tabulka171013630[[#This Row],[ ]]="NEÚČAST","",IF(OR(Tabulka171013630[Výsledný čas]="N",Tabulka171013630[Výsledný čas]="D"),$X$4-$X$5,_xlfn.RANK.EQ(Tabulka171013630[[#This Row],[ ]],Tabulka171013630[[ ]],1))))</f>
        <v>7</v>
      </c>
      <c r="P10" s="89" t="s">
        <v>21</v>
      </c>
      <c r="Q10" s="90">
        <v>24.007999999999999</v>
      </c>
      <c r="R10" s="90">
        <v>22.274999999999999</v>
      </c>
      <c r="S10" s="60">
        <f>IF(OR(Tabulka171013630[[#This Row],[LP]]="N",Tabulka171013630[[#This Row],[PP]]="N"),"N",IF(OR(Tabulka171013630[[#This Row],[LP]]="D",Tabulka171013630[[#This Row],[PP]]="D"),"D",IF(OR(Tabulka171013630[[#This Row],[LP]]="NEÚČAST",Tabulka171013630[[#This Row],[PP]]="NEÚČAST"),"NEÚČAST",IF(OR(Tabulka171013630[[#This Row],[LP]]="",Tabulka171013630[[#This Row],[PP]]=""),"",MAX(Tabulka171013630[[#This Row],[LP]:[PP]])))))</f>
        <v>24.007999999999999</v>
      </c>
      <c r="T10" s="99">
        <f>COUNTIF(Tabulka171013630[[#This Row],[Tým]],"*")</f>
        <v>1</v>
      </c>
      <c r="U10" s="99">
        <f>COUNTIF(Tabulka171013630[[#This Row],[Výsledný čas]],"NEÚČAST")</f>
        <v>0</v>
      </c>
      <c r="V10" s="99">
        <f>IF(Tabulka171013630[[#This Row],[Výsledný čas]]="N",998,IF(Tabulka171013630[[#This Row],[Výsledný čas]]="D",998,IF(Tabulka171013630[[#This Row],[Výsledný čas]]="","",Tabulka171013630[[#This Row],[Výsledný čas]])))</f>
        <v>24.007999999999999</v>
      </c>
      <c r="Z10" s="31">
        <f>IF(OR(Tabulka38111426[Výsledný čas]="N",Tabulka38111426[Výsledný čas]="D",Tabulka38111426[Výsledný čas]="NEÚČAST"),Uvod!$E$4,_xlfn.RANK.EQ(Tabulka38111426[[#This Row],[ ]],Tabulka38111426[[ ]],1))</f>
        <v>7</v>
      </c>
      <c r="AA10" s="51" t="s">
        <v>24</v>
      </c>
      <c r="AB10" s="44">
        <f>VLOOKUP(Tabulka38111426[[#This Row],[Tým]],Tabulka17101325[[Tým]:[ ]],2,FALSE)</f>
        <v>17.606999999999999</v>
      </c>
      <c r="AC10" s="44">
        <f>VLOOKUP(Tabulka38111426[[#This Row],[Tým]],Tabulka17101325[[Tým]:[ ]],3,FALSE)</f>
        <v>18.364000000000001</v>
      </c>
      <c r="AD10" s="25">
        <f>VLOOKUP(Tabulka38111426[[#This Row],[Tým]],Tabulka17101325[[Tým]:[ ]],4,FALSE)</f>
        <v>18.364000000000001</v>
      </c>
      <c r="AE10" s="25">
        <f>VLOOKUP(Tabulka38111426[[#This Row],[Tým]],Tabulka17101325[[Tým]:[ ]],7,FALSE)</f>
        <v>18.364000000000001</v>
      </c>
      <c r="AF10" s="29">
        <f>IF(Tabulka38111426[[#This Row],[Výsledný čas]]="N",5,IF(Tabulka38111426[[#This Row],[Výsledný čas]]="D",0,IF(Tabulka38111426[[#This Row],[Výsledný čas]]="NEÚČAST",0,Tabulka4[[#Totals],[Týmy muži]]+6-Tabulka38111426[[#This Row],[Umístění]])))</f>
        <v>18</v>
      </c>
      <c r="AH10" s="31">
        <f>_xlfn.RANK.EQ(Tabulka59121527[[#This Row],[Body]],Tabulka59121527[Body],0)</f>
        <v>7</v>
      </c>
      <c r="AI10" s="51" t="s">
        <v>15</v>
      </c>
      <c r="AJ10" s="188">
        <f>VLOOKUP(Tabulka59121527[[#This Row],[Tým]],Tabulka38111426[[Tým]:[Body]],6,FALSE)+Tabulka59121527[[#This Row],[ ]]</f>
        <v>47</v>
      </c>
      <c r="AK10" s="82">
        <f>VLOOKUP(Tabulka59121527[[#This Row],[Tým]],Tabulka591215[[Tým]:[Body]],2,FALSE)</f>
        <v>36</v>
      </c>
      <c r="AL10" s="92">
        <f>Tabulka59121527[[#This Row],[Umístění]]</f>
        <v>7</v>
      </c>
      <c r="AM10" s="15"/>
      <c r="AP10" s="1"/>
    </row>
    <row r="11" spans="2:42" ht="24.95" customHeight="1" x14ac:dyDescent="0.45">
      <c r="B11" s="175" t="s">
        <v>68</v>
      </c>
      <c r="C11" s="25">
        <f>IF(Tabulka17101325[[#This Row],[ ]]="","",IF(Tabulka17101325[[#This Row],[ ]]="NEÚČAST","",IF(OR(Tabulka17101325[Výsledný čas]="N",Tabulka17101325[Výsledný čas]="D"),$L$4-$L$5,_xlfn.RANK.EQ(Tabulka17101325[[#This Row],[ ]],Tabulka17101325[[ ]],1))))</f>
        <v>8</v>
      </c>
      <c r="D11" s="162" t="s">
        <v>24</v>
      </c>
      <c r="E11" s="120">
        <v>17.606999999999999</v>
      </c>
      <c r="F11" s="120">
        <v>18.364000000000001</v>
      </c>
      <c r="G11" s="29">
        <f>IF(OR(Tabulka17101325[[#This Row],[LP]]="N",Tabulka17101325[[#This Row],[PP]]="N"),"N",IF(OR(Tabulka17101325[[#This Row],[LP]]="D",Tabulka17101325[[#This Row],[PP]]="D"),"D",IF(OR(Tabulka17101325[[#This Row],[LP]]="NEÚČAST",Tabulka17101325[[#This Row],[PP]]="NEÚČAST"),"NEÚČAST",IF(OR(Tabulka17101325[[#This Row],[LP]]="",Tabulka17101325[[#This Row],[PP]]=""),"",MAX(Tabulka17101325[[#This Row],[LP]:[PP]])))))</f>
        <v>18.364000000000001</v>
      </c>
      <c r="H11" s="9">
        <f>COUNTIF(Tabulka17101325[[#This Row],[Tým]],"*")</f>
        <v>1</v>
      </c>
      <c r="I11" s="9">
        <f>COUNTIF(Tabulka17101325[[#This Row],[Výsledný čas]],"NEÚČAST")</f>
        <v>0</v>
      </c>
      <c r="J11" s="9">
        <f>IF(Tabulka17101325[[#This Row],[Výsledný čas]]="N",998,IF(Tabulka17101325[[#This Row],[Výsledný čas]]="D",998,IF(Tabulka17101325[[#This Row],[Výsledný čas]]="","",Tabulka17101325[[#This Row],[Výsledný čas]])))</f>
        <v>18.364000000000001</v>
      </c>
      <c r="N11" s="30" t="s">
        <v>106</v>
      </c>
      <c r="O11" s="25">
        <f>IF(Tabulka171013630[[#This Row],[ ]]="","",IF(Tabulka171013630[[#This Row],[ ]]="NEÚČAST","",IF(OR(Tabulka171013630[Výsledný čas]="N",Tabulka171013630[Výsledný čas]="D"),$X$4-$X$5,_xlfn.RANK.EQ(Tabulka171013630[[#This Row],[ ]],Tabulka171013630[[ ]],1))))</f>
        <v>8</v>
      </c>
      <c r="P11" s="26" t="s">
        <v>96</v>
      </c>
      <c r="Q11" s="5">
        <v>22.02</v>
      </c>
      <c r="R11" s="5">
        <v>25.271999999999998</v>
      </c>
      <c r="S11" s="29">
        <f>IF(OR(Tabulka171013630[[#This Row],[LP]]="N",Tabulka171013630[[#This Row],[PP]]="N"),"N",IF(OR(Tabulka171013630[[#This Row],[LP]]="D",Tabulka171013630[[#This Row],[PP]]="D"),"D",IF(OR(Tabulka171013630[[#This Row],[LP]]="NEÚČAST",Tabulka171013630[[#This Row],[PP]]="NEÚČAST"),"NEÚČAST",IF(OR(Tabulka171013630[[#This Row],[LP]]="",Tabulka171013630[[#This Row],[PP]]=""),"",MAX(Tabulka171013630[[#This Row],[LP]:[PP]])))))</f>
        <v>25.271999999999998</v>
      </c>
      <c r="T11" s="46">
        <f>COUNTIF(Tabulka171013630[[#This Row],[Tým]],"*")</f>
        <v>1</v>
      </c>
      <c r="U11" s="46">
        <f>COUNTIF(Tabulka171013630[[#This Row],[Výsledný čas]],"NEÚČAST")</f>
        <v>0</v>
      </c>
      <c r="V11" s="29">
        <f>IF(Tabulka171013630[[#This Row],[Výsledný čas]]="N",998,IF(Tabulka171013630[[#This Row],[Výsledný čas]]="D",998,IF(Tabulka171013630[[#This Row],[Výsledný čas]]="","",Tabulka171013630[[#This Row],[Výsledný čas]])))</f>
        <v>25.271999999999998</v>
      </c>
      <c r="Z11" s="31">
        <f>IF(OR(Tabulka38111426[Výsledný čas]="N",Tabulka38111426[Výsledný čas]="D",Tabulka38111426[Výsledný čas]="NEÚČAST"),Uvod!$E$4,_xlfn.RANK.EQ(Tabulka38111426[[#This Row],[ ]],Tabulka38111426[[ ]],1))</f>
        <v>8</v>
      </c>
      <c r="AA11" s="51" t="s">
        <v>14</v>
      </c>
      <c r="AB11" s="44">
        <f>VLOOKUP(Tabulka38111426[[#This Row],[Tým]],Tabulka17101325[[Tým]:[ ]],2,FALSE)</f>
        <v>18.062999999999999</v>
      </c>
      <c r="AC11" s="44">
        <f>VLOOKUP(Tabulka38111426[[#This Row],[Tým]],Tabulka17101325[[Tým]:[ ]],3,FALSE)</f>
        <v>18.367999999999999</v>
      </c>
      <c r="AD11" s="25">
        <f>VLOOKUP(Tabulka38111426[[#This Row],[Tým]],Tabulka17101325[[Tým]:[ ]],4,FALSE)</f>
        <v>18.367999999999999</v>
      </c>
      <c r="AE11" s="25">
        <f>VLOOKUP(Tabulka38111426[[#This Row],[Tým]],Tabulka17101325[[Tým]:[ ]],7,FALSE)</f>
        <v>18.367999999999999</v>
      </c>
      <c r="AF11" s="29">
        <f>IF(Tabulka38111426[[#This Row],[Výsledný čas]]="N",5,IF(Tabulka38111426[[#This Row],[Výsledný čas]]="D",0,IF(Tabulka38111426[[#This Row],[Výsledný čas]]="NEÚČAST",0,Tabulka4[[#Totals],[Týmy muži]]+6-Tabulka38111426[[#This Row],[Umístění]])))</f>
        <v>17</v>
      </c>
      <c r="AH11" s="31">
        <f>_xlfn.RANK.EQ(Tabulka59121527[[#This Row],[Body]],Tabulka59121527[Body],0)</f>
        <v>7</v>
      </c>
      <c r="AI11" s="51" t="s">
        <v>32</v>
      </c>
      <c r="AJ11" s="188">
        <f>VLOOKUP(Tabulka59121527[[#This Row],[Tým]],Tabulka38111426[[Tým]:[Body]],6,FALSE)+Tabulka59121527[[#This Row],[ ]]</f>
        <v>47</v>
      </c>
      <c r="AK11" s="82">
        <f>VLOOKUP(Tabulka59121527[[#This Row],[Tým]],Tabulka591215[[Tým]:[Body]],2,FALSE)</f>
        <v>28</v>
      </c>
      <c r="AL11" s="92">
        <f>Tabulka59121527[[#This Row],[Umístění]]</f>
        <v>7</v>
      </c>
      <c r="AM11" s="15"/>
      <c r="AP11" s="1"/>
    </row>
    <row r="12" spans="2:42" ht="24.95" customHeight="1" x14ac:dyDescent="0.45">
      <c r="B12" s="175" t="s">
        <v>57</v>
      </c>
      <c r="C12" s="25">
        <f>IF(Tabulka17101325[[#This Row],[ ]]="","",IF(Tabulka17101325[[#This Row],[ ]]="NEÚČAST","",IF(OR(Tabulka17101325[Výsledný čas]="N",Tabulka17101325[Výsledný čas]="D"),$L$4-$L$5,_xlfn.RANK.EQ(Tabulka17101325[[#This Row],[ ]],Tabulka17101325[[ ]],1))))</f>
        <v>9</v>
      </c>
      <c r="D12" s="162" t="s">
        <v>14</v>
      </c>
      <c r="E12" s="120">
        <v>18.062999999999999</v>
      </c>
      <c r="F12" s="120">
        <v>18.367999999999999</v>
      </c>
      <c r="G12" s="29">
        <f>IF(OR(Tabulka17101325[[#This Row],[LP]]="N",Tabulka17101325[[#This Row],[PP]]="N"),"N",IF(OR(Tabulka17101325[[#This Row],[LP]]="D",Tabulka17101325[[#This Row],[PP]]="D"),"D",IF(OR(Tabulka17101325[[#This Row],[LP]]="NEÚČAST",Tabulka17101325[[#This Row],[PP]]="NEÚČAST"),"NEÚČAST",IF(OR(Tabulka17101325[[#This Row],[LP]]="",Tabulka17101325[[#This Row],[PP]]=""),"",MAX(Tabulka17101325[[#This Row],[LP]:[PP]])))))</f>
        <v>18.367999999999999</v>
      </c>
      <c r="H12" s="9">
        <f>COUNTIF(Tabulka17101325[[#This Row],[Tým]],"*")</f>
        <v>1</v>
      </c>
      <c r="I12" s="9">
        <f>COUNTIF(Tabulka17101325[[#This Row],[Výsledný čas]],"NEÚČAST")</f>
        <v>0</v>
      </c>
      <c r="J12" s="9">
        <f>IF(Tabulka17101325[[#This Row],[Výsledný čas]]="N",998,IF(Tabulka17101325[[#This Row],[Výsledný čas]]="D",998,IF(Tabulka17101325[[#This Row],[Výsledný čas]]="","",Tabulka17101325[[#This Row],[Výsledný čas]])))</f>
        <v>18.367999999999999</v>
      </c>
      <c r="N12" s="30" t="s">
        <v>59</v>
      </c>
      <c r="O12" s="25">
        <f>IF(Tabulka171013630[[#This Row],[ ]]="","",IF(Tabulka171013630[[#This Row],[ ]]="NEÚČAST","",IF(OR(Tabulka171013630[Výsledný čas]="N",Tabulka171013630[Výsledný čas]="D"),$X$4-$X$5,_xlfn.RANK.EQ(Tabulka171013630[[#This Row],[ ]],Tabulka171013630[[ ]],1))))</f>
        <v>9</v>
      </c>
      <c r="P12" s="26" t="s">
        <v>15</v>
      </c>
      <c r="Q12" s="5">
        <v>25.606000000000002</v>
      </c>
      <c r="R12" s="5">
        <v>21.579000000000001</v>
      </c>
      <c r="S12" s="29">
        <f>IF(OR(Tabulka171013630[[#This Row],[LP]]="N",Tabulka171013630[[#This Row],[PP]]="N"),"N",IF(OR(Tabulka171013630[[#This Row],[LP]]="D",Tabulka171013630[[#This Row],[PP]]="D"),"D",IF(OR(Tabulka171013630[[#This Row],[LP]]="NEÚČAST",Tabulka171013630[[#This Row],[PP]]="NEÚČAST"),"NEÚČAST",IF(OR(Tabulka171013630[[#This Row],[LP]]="",Tabulka171013630[[#This Row],[PP]]=""),"",MAX(Tabulka171013630[[#This Row],[LP]:[PP]])))))</f>
        <v>25.606000000000002</v>
      </c>
      <c r="T12" s="46">
        <f>COUNTIF(Tabulka171013630[[#This Row],[Tým]],"*")</f>
        <v>1</v>
      </c>
      <c r="U12" s="46">
        <f>COUNTIF(Tabulka171013630[[#This Row],[Výsledný čas]],"NEÚČAST")</f>
        <v>0</v>
      </c>
      <c r="V12" s="29">
        <f>IF(Tabulka171013630[[#This Row],[Výsledný čas]]="N",998,IF(Tabulka171013630[[#This Row],[Výsledný čas]]="D",998,IF(Tabulka171013630[[#This Row],[Výsledný čas]]="","",Tabulka171013630[[#This Row],[Výsledný čas]])))</f>
        <v>25.606000000000002</v>
      </c>
      <c r="Z12" s="31">
        <f>IF(OR(Tabulka38111426[Výsledný čas]="N",Tabulka38111426[Výsledný čas]="D",Tabulka38111426[Výsledný čas]="NEÚČAST"),Uvod!$E$4,_xlfn.RANK.EQ(Tabulka38111426[[#This Row],[ ]],Tabulka38111426[[ ]],1))</f>
        <v>9</v>
      </c>
      <c r="AA12" s="51" t="s">
        <v>18</v>
      </c>
      <c r="AB12" s="44">
        <f>VLOOKUP(Tabulka38111426[[#This Row],[Tým]],Tabulka17101325[[Tým]:[ ]],2,FALSE)</f>
        <v>18.616</v>
      </c>
      <c r="AC12" s="44">
        <f>VLOOKUP(Tabulka38111426[[#This Row],[Tým]],Tabulka17101325[[Tým]:[ ]],3,FALSE)</f>
        <v>17.315999999999999</v>
      </c>
      <c r="AD12" s="25">
        <f>VLOOKUP(Tabulka38111426[[#This Row],[Tým]],Tabulka17101325[[Tým]:[ ]],4,FALSE)</f>
        <v>18.616</v>
      </c>
      <c r="AE12" s="25">
        <f>VLOOKUP(Tabulka38111426[[#This Row],[Tým]],Tabulka17101325[[Tým]:[ ]],7,FALSE)</f>
        <v>18.616</v>
      </c>
      <c r="AF12" s="29">
        <f>IF(Tabulka38111426[[#This Row],[Výsledný čas]]="N",5,IF(Tabulka38111426[[#This Row],[Výsledný čas]]="D",0,IF(Tabulka38111426[[#This Row],[Výsledný čas]]="NEÚČAST",0,Tabulka4[[#Totals],[Týmy muži]]+6-Tabulka38111426[[#This Row],[Umístění]])))</f>
        <v>16</v>
      </c>
      <c r="AH12" s="31">
        <f>_xlfn.RANK.EQ(Tabulka59121527[[#This Row],[Body]],Tabulka59121527[Body],0)</f>
        <v>9</v>
      </c>
      <c r="AI12" s="51" t="s">
        <v>11</v>
      </c>
      <c r="AJ12" s="188">
        <f>VLOOKUP(Tabulka59121527[[#This Row],[Tým]],Tabulka38111426[[Tým]:[Body]],6,FALSE)+Tabulka59121527[[#This Row],[ ]]</f>
        <v>44</v>
      </c>
      <c r="AK12" s="82">
        <f>VLOOKUP(Tabulka59121527[[#This Row],[Tým]],Tabulka591215[[Tým]:[Body]],2,FALSE)</f>
        <v>30</v>
      </c>
      <c r="AL12" s="92">
        <f>Tabulka59121527[[#This Row],[Umístění]]</f>
        <v>9</v>
      </c>
      <c r="AM12" s="15"/>
      <c r="AP12" s="1"/>
    </row>
    <row r="13" spans="2:42" ht="24.95" customHeight="1" x14ac:dyDescent="0.45">
      <c r="B13" s="175" t="s">
        <v>44</v>
      </c>
      <c r="C13" s="25">
        <f>IF(Tabulka17101325[[#This Row],[ ]]="","",IF(Tabulka17101325[[#This Row],[ ]]="NEÚČAST","",IF(OR(Tabulka17101325[Výsledný čas]="N",Tabulka17101325[Výsledný čas]="D"),$L$4-$L$5,_xlfn.RANK.EQ(Tabulka17101325[[#This Row],[ ]],Tabulka17101325[[ ]],1))))</f>
        <v>10</v>
      </c>
      <c r="D13" s="162" t="s">
        <v>18</v>
      </c>
      <c r="E13" s="120">
        <v>18.616</v>
      </c>
      <c r="F13" s="120">
        <v>17.315999999999999</v>
      </c>
      <c r="G13" s="29">
        <f>IF(OR(Tabulka17101325[[#This Row],[LP]]="N",Tabulka17101325[[#This Row],[PP]]="N"),"N",IF(OR(Tabulka17101325[[#This Row],[LP]]="D",Tabulka17101325[[#This Row],[PP]]="D"),"D",IF(OR(Tabulka17101325[[#This Row],[LP]]="NEÚČAST",Tabulka17101325[[#This Row],[PP]]="NEÚČAST"),"NEÚČAST",IF(OR(Tabulka17101325[[#This Row],[LP]]="",Tabulka17101325[[#This Row],[PP]]=""),"",MAX(Tabulka17101325[[#This Row],[LP]:[PP]])))))</f>
        <v>18.616</v>
      </c>
      <c r="H13" s="9">
        <f>COUNTIF(Tabulka17101325[[#This Row],[Tým]],"*")</f>
        <v>1</v>
      </c>
      <c r="I13" s="9">
        <f>COUNTIF(Tabulka17101325[[#This Row],[Výsledný čas]],"NEÚČAST")</f>
        <v>0</v>
      </c>
      <c r="J13" s="9">
        <f>IF(Tabulka17101325[[#This Row],[Výsledný čas]]="N",998,IF(Tabulka17101325[[#This Row],[Výsledný čas]]="D",998,IF(Tabulka17101325[[#This Row],[Výsledný čas]]="","",Tabulka17101325[[#This Row],[Výsledný čas]])))</f>
        <v>18.616</v>
      </c>
      <c r="N13" s="30" t="s">
        <v>107</v>
      </c>
      <c r="O13" s="25">
        <f>IF(Tabulka171013630[[#This Row],[ ]]="","",IF(Tabulka171013630[[#This Row],[ ]]="NEÚČAST","",IF(OR(Tabulka171013630[Výsledný čas]="N",Tabulka171013630[Výsledný čas]="D"),$X$4-$X$5,_xlfn.RANK.EQ(Tabulka171013630[[#This Row],[ ]],Tabulka171013630[[ ]],1))))</f>
        <v>10</v>
      </c>
      <c r="P13" s="26" t="s">
        <v>36</v>
      </c>
      <c r="Q13" s="5">
        <v>38.817999999999998</v>
      </c>
      <c r="R13" s="5">
        <v>25.611000000000001</v>
      </c>
      <c r="S13" s="29">
        <f>IF(OR(Tabulka171013630[[#This Row],[LP]]="N",Tabulka171013630[[#This Row],[PP]]="N"),"N",IF(OR(Tabulka171013630[[#This Row],[LP]]="D",Tabulka171013630[[#This Row],[PP]]="D"),"D",IF(OR(Tabulka171013630[[#This Row],[LP]]="NEÚČAST",Tabulka171013630[[#This Row],[PP]]="NEÚČAST"),"NEÚČAST",IF(OR(Tabulka171013630[[#This Row],[LP]]="",Tabulka171013630[[#This Row],[PP]]=""),"",MAX(Tabulka171013630[[#This Row],[LP]:[PP]])))))</f>
        <v>38.817999999999998</v>
      </c>
      <c r="T13" s="46">
        <f>COUNTIF(Tabulka171013630[[#This Row],[Tým]],"*")</f>
        <v>1</v>
      </c>
      <c r="U13" s="46">
        <f>COUNTIF(Tabulka171013630[[#This Row],[Výsledný čas]],"NEÚČAST")</f>
        <v>0</v>
      </c>
      <c r="V13" s="29">
        <f>IF(Tabulka171013630[[#This Row],[Výsledný čas]]="N",998,IF(Tabulka171013630[[#This Row],[Výsledný čas]]="D",998,IF(Tabulka171013630[[#This Row],[Výsledný čas]]="","",Tabulka171013630[[#This Row],[Výsledný čas]])))</f>
        <v>38.817999999999998</v>
      </c>
      <c r="Z13" s="31">
        <f>IF(OR(Tabulka38111426[Výsledný čas]="N",Tabulka38111426[Výsledný čas]="D",Tabulka38111426[Výsledný čas]="NEÚČAST"),Uvod!$E$4,_xlfn.RANK.EQ(Tabulka38111426[[#This Row],[ ]],Tabulka38111426[[ ]],1))</f>
        <v>10</v>
      </c>
      <c r="AA13" s="51" t="s">
        <v>25</v>
      </c>
      <c r="AB13" s="44">
        <f>VLOOKUP(Tabulka38111426[[#This Row],[Tým]],Tabulka17101325[[Tým]:[ ]],2,FALSE)</f>
        <v>18.341000000000001</v>
      </c>
      <c r="AC13" s="44">
        <f>VLOOKUP(Tabulka38111426[[#This Row],[Tým]],Tabulka17101325[[Tým]:[ ]],3,FALSE)</f>
        <v>18.89</v>
      </c>
      <c r="AD13" s="25">
        <f>VLOOKUP(Tabulka38111426[[#This Row],[Tým]],Tabulka17101325[[Tým]:[ ]],4,FALSE)</f>
        <v>18.89</v>
      </c>
      <c r="AE13" s="25">
        <f>VLOOKUP(Tabulka38111426[[#This Row],[Tým]],Tabulka17101325[[Tým]:[ ]],7,FALSE)</f>
        <v>18.89</v>
      </c>
      <c r="AF13" s="29">
        <f>IF(Tabulka38111426[[#This Row],[Výsledný čas]]="N",5,IF(Tabulka38111426[[#This Row],[Výsledný čas]]="D",0,IF(Tabulka38111426[[#This Row],[Výsledný čas]]="NEÚČAST",0,Tabulka4[[#Totals],[Týmy muži]]+6-Tabulka38111426[[#This Row],[Umístění]])))</f>
        <v>15</v>
      </c>
      <c r="AH13" s="31">
        <f>_xlfn.RANK.EQ(Tabulka59121527[[#This Row],[Body]],Tabulka59121527[Body],0)</f>
        <v>10</v>
      </c>
      <c r="AI13" s="51" t="s">
        <v>16</v>
      </c>
      <c r="AJ13" s="188">
        <f>VLOOKUP(Tabulka59121527[[#This Row],[Tým]],Tabulka38111426[[Tým]:[Body]],6,FALSE)+Tabulka59121527[[#This Row],[ ]]</f>
        <v>43</v>
      </c>
      <c r="AK13" s="82">
        <f>VLOOKUP(Tabulka59121527[[#This Row],[Tým]],Tabulka591215[[Tým]:[Body]],2,FALSE)</f>
        <v>33</v>
      </c>
      <c r="AL13" s="92">
        <f>Tabulka59121527[[#This Row],[Umístění]]</f>
        <v>10</v>
      </c>
      <c r="AM13" s="15"/>
      <c r="AP13" s="1"/>
    </row>
    <row r="14" spans="2:42" ht="24.95" customHeight="1" x14ac:dyDescent="0.45">
      <c r="B14" s="176" t="s">
        <v>67</v>
      </c>
      <c r="C14" s="25">
        <f>IF(Tabulka17101325[[#This Row],[ ]]="","",IF(Tabulka17101325[[#This Row],[ ]]="NEÚČAST","",IF(OR(Tabulka17101325[Výsledný čas]="N",Tabulka17101325[Výsledný čas]="D"),$L$4-$L$5,_xlfn.RANK.EQ(Tabulka17101325[[#This Row],[ ]],Tabulka17101325[[ ]],1))))</f>
        <v>11</v>
      </c>
      <c r="D14" s="163" t="s">
        <v>25</v>
      </c>
      <c r="E14" s="122">
        <v>18.341000000000001</v>
      </c>
      <c r="F14" s="122">
        <v>18.89</v>
      </c>
      <c r="G14" s="29">
        <f>IF(OR(Tabulka17101325[[#This Row],[LP]]="N",Tabulka17101325[[#This Row],[PP]]="N"),"N",IF(OR(Tabulka17101325[[#This Row],[LP]]="D",Tabulka17101325[[#This Row],[PP]]="D"),"D",IF(OR(Tabulka17101325[[#This Row],[LP]]="NEÚČAST",Tabulka17101325[[#This Row],[PP]]="NEÚČAST"),"NEÚČAST",IF(OR(Tabulka17101325[[#This Row],[LP]]="",Tabulka17101325[[#This Row],[PP]]=""),"",MAX(Tabulka17101325[[#This Row],[LP]:[PP]])))))</f>
        <v>18.89</v>
      </c>
      <c r="H14" s="9">
        <f>COUNTIF(Tabulka17101325[[#This Row],[Tým]],"*")</f>
        <v>1</v>
      </c>
      <c r="I14" s="9">
        <f>COUNTIF(Tabulka17101325[[#This Row],[Výsledný čas]],"NEÚČAST")</f>
        <v>0</v>
      </c>
      <c r="J14" s="9">
        <f>IF(Tabulka17101325[[#This Row],[Výsledný čas]]="N",998,IF(Tabulka17101325[[#This Row],[Výsledný čas]]="D",998,IF(Tabulka17101325[[#This Row],[Výsledný čas]]="","",Tabulka17101325[[#This Row],[Výsledný čas]])))</f>
        <v>18.89</v>
      </c>
      <c r="N14" s="30" t="s">
        <v>41</v>
      </c>
      <c r="O14" s="25">
        <f>IF(Tabulka171013630[[#This Row],[ ]]="","",IF(Tabulka171013630[[#This Row],[ ]]="NEÚČAST","",IF(OR(Tabulka171013630[Výsledný čas]="N",Tabulka171013630[Výsledný čas]="D"),$X$4-$X$5,_xlfn.RANK.EQ(Tabulka171013630[[#This Row],[ ]],Tabulka171013630[[ ]],1))))</f>
        <v>12</v>
      </c>
      <c r="P14" s="26" t="s">
        <v>23</v>
      </c>
      <c r="Q14" s="5">
        <v>20.113</v>
      </c>
      <c r="R14" s="5">
        <v>25.782</v>
      </c>
      <c r="S14" s="29" t="s">
        <v>9</v>
      </c>
      <c r="T14" s="46">
        <f>COUNTIF(Tabulka171013630[[#This Row],[Tým]],"*")</f>
        <v>1</v>
      </c>
      <c r="U14" s="46">
        <f>COUNTIF(Tabulka171013630[[#This Row],[Výsledný čas]],"NEÚČAST")</f>
        <v>0</v>
      </c>
      <c r="V14" s="29">
        <f>IF(Tabulka171013630[[#This Row],[Výsledný čas]]="N",998,IF(Tabulka171013630[[#This Row],[Výsledný čas]]="D",998,IF(Tabulka171013630[[#This Row],[Výsledný čas]]="","",Tabulka171013630[[#This Row],[Výsledný čas]])))</f>
        <v>998</v>
      </c>
      <c r="Z14" s="31">
        <f>IF(OR(Tabulka38111426[Výsledný čas]="N",Tabulka38111426[Výsledný čas]="D",Tabulka38111426[Výsledný čas]="NEÚČAST"),Uvod!$E$4,_xlfn.RANK.EQ(Tabulka38111426[[#This Row],[ ]],Tabulka38111426[[ ]],1))</f>
        <v>11</v>
      </c>
      <c r="AA14" s="51" t="s">
        <v>11</v>
      </c>
      <c r="AB14" s="44">
        <f>VLOOKUP(Tabulka38111426[[#This Row],[Tým]],Tabulka17101325[[Tým]:[ ]],2,FALSE)</f>
        <v>21.585000000000001</v>
      </c>
      <c r="AC14" s="44">
        <f>VLOOKUP(Tabulka38111426[[#This Row],[Tým]],Tabulka17101325[[Tým]:[ ]],3,FALSE)</f>
        <v>18.414000000000001</v>
      </c>
      <c r="AD14" s="25">
        <f>VLOOKUP(Tabulka38111426[[#This Row],[Tým]],Tabulka17101325[[Tým]:[ ]],4,FALSE)</f>
        <v>21.585000000000001</v>
      </c>
      <c r="AE14" s="25">
        <f>VLOOKUP(Tabulka38111426[[#This Row],[Tým]],Tabulka17101325[[Tým]:[ ]],7,FALSE)</f>
        <v>21.585000000000001</v>
      </c>
      <c r="AF14" s="29">
        <f>IF(Tabulka38111426[[#This Row],[Výsledný čas]]="N",5,IF(Tabulka38111426[[#This Row],[Výsledný čas]]="D",0,IF(Tabulka38111426[[#This Row],[Výsledný čas]]="NEÚČAST",0,Tabulka4[[#Totals],[Týmy muži]]+6-Tabulka38111426[[#This Row],[Umístění]])))</f>
        <v>14</v>
      </c>
      <c r="AH14" s="31">
        <f>_xlfn.RANK.EQ(Tabulka59121527[[#This Row],[Body]],Tabulka59121527[Body],0)</f>
        <v>11</v>
      </c>
      <c r="AI14" s="51" t="s">
        <v>6</v>
      </c>
      <c r="AJ14" s="188">
        <f>VLOOKUP(Tabulka59121527[[#This Row],[Tým]],Tabulka38111426[[Tým]:[Body]],6,FALSE)+Tabulka59121527[[#This Row],[ ]]</f>
        <v>41</v>
      </c>
      <c r="AK14" s="82">
        <f>VLOOKUP(Tabulka59121527[[#This Row],[Tým]],Tabulka591215[[Tým]:[Body]],2,FALSE)</f>
        <v>28</v>
      </c>
      <c r="AL14" s="92">
        <f>Tabulka59121527[[#This Row],[Umístění]]</f>
        <v>11</v>
      </c>
      <c r="AM14" s="15"/>
      <c r="AP14" s="1"/>
    </row>
    <row r="15" spans="2:42" ht="24.95" customHeight="1" thickBot="1" x14ac:dyDescent="0.5">
      <c r="B15" s="176" t="s">
        <v>63</v>
      </c>
      <c r="C15" s="25">
        <f>IF(Tabulka17101325[[#This Row],[ ]]="","",IF(Tabulka17101325[[#This Row],[ ]]="NEÚČAST","",IF(OR(Tabulka17101325[Výsledný čas]="N",Tabulka17101325[Výsledný čas]="D"),$L$4-$L$5,_xlfn.RANK.EQ(Tabulka17101325[[#This Row],[ ]],Tabulka17101325[[ ]],1))))</f>
        <v>12</v>
      </c>
      <c r="D15" s="162" t="s">
        <v>11</v>
      </c>
      <c r="E15" s="121">
        <v>21.585000000000001</v>
      </c>
      <c r="F15" s="121">
        <v>18.414000000000001</v>
      </c>
      <c r="G15" s="29">
        <f>IF(OR(Tabulka17101325[[#This Row],[LP]]="N",Tabulka17101325[[#This Row],[PP]]="N"),"N",IF(OR(Tabulka17101325[[#This Row],[LP]]="D",Tabulka17101325[[#This Row],[PP]]="D"),"D",IF(OR(Tabulka17101325[[#This Row],[LP]]="NEÚČAST",Tabulka17101325[[#This Row],[PP]]="NEÚČAST"),"NEÚČAST",IF(OR(Tabulka17101325[[#This Row],[LP]]="",Tabulka17101325[[#This Row],[PP]]=""),"",MAX(Tabulka17101325[[#This Row],[LP]:[PP]])))))</f>
        <v>21.585000000000001</v>
      </c>
      <c r="H15" s="9">
        <f>COUNTIF(Tabulka17101325[[#This Row],[Tým]],"*")</f>
        <v>1</v>
      </c>
      <c r="I15" s="9">
        <f>COUNTIF(Tabulka17101325[[#This Row],[Výsledný čas]],"NEÚČAST")</f>
        <v>0</v>
      </c>
      <c r="J15" s="9">
        <f>IF(Tabulka17101325[[#This Row],[Výsledný čas]]="N",998,IF(Tabulka17101325[[#This Row],[Výsledný čas]]="D",998,IF(Tabulka17101325[[#This Row],[Výsledný čas]]="","",Tabulka17101325[[#This Row],[Výsledný čas]])))</f>
        <v>21.585000000000001</v>
      </c>
      <c r="N15" s="71" t="s">
        <v>70</v>
      </c>
      <c r="O15" s="34">
        <f>IF(Tabulka171013630[[#This Row],[ ]]="","",IF(Tabulka171013630[[#This Row],[ ]]="NEÚČAST","",IF(OR(Tabulka171013630[Výsledný čas]="N",Tabulka171013630[Výsledný čas]="D"),$X$4-$X$5,_xlfn.RANK.EQ(Tabulka171013630[[#This Row],[ ]],Tabulka171013630[[ ]],1))))</f>
        <v>12</v>
      </c>
      <c r="P15" s="101" t="s">
        <v>24</v>
      </c>
      <c r="Q15" s="91" t="s">
        <v>9</v>
      </c>
      <c r="R15" s="91" t="s">
        <v>9</v>
      </c>
      <c r="S15" s="36" t="str">
        <f>IF(OR(Tabulka171013630[[#This Row],[LP]]="N",Tabulka171013630[[#This Row],[PP]]="N"),"N",IF(OR(Tabulka171013630[[#This Row],[LP]]="D",Tabulka171013630[[#This Row],[PP]]="D"),"D",IF(OR(Tabulka171013630[[#This Row],[LP]]="NEÚČAST",Tabulka171013630[[#This Row],[PP]]="NEÚČAST"),"NEÚČAST",IF(OR(Tabulka171013630[[#This Row],[LP]]="",Tabulka171013630[[#This Row],[PP]]=""),"",MAX(Tabulka171013630[[#This Row],[LP]:[PP]])))))</f>
        <v>N</v>
      </c>
      <c r="T15" s="179">
        <f>COUNTIF(Tabulka171013630[[#This Row],[Tým]],"*")</f>
        <v>1</v>
      </c>
      <c r="U15" s="179">
        <f>COUNTIF(Tabulka171013630[[#This Row],[Výsledný čas]],"NEÚČAST")</f>
        <v>0</v>
      </c>
      <c r="V15" s="36">
        <f>IF(Tabulka171013630[[#This Row],[Výsledný čas]]="N",998,IF(Tabulka171013630[[#This Row],[Výsledný čas]]="D",998,IF(Tabulka171013630[[#This Row],[Výsledný čas]]="","",Tabulka171013630[[#This Row],[Výsledný čas]])))</f>
        <v>998</v>
      </c>
      <c r="Z15" s="31">
        <f>IF(OR(Tabulka38111426[Výsledný čas]="N",Tabulka38111426[Výsledný čas]="D",Tabulka38111426[Výsledný čas]="NEÚČAST"),Uvod!$E$4,_xlfn.RANK.EQ(Tabulka38111426[[#This Row],[ ]],Tabulka38111426[[ ]],1))</f>
        <v>12</v>
      </c>
      <c r="AA15" s="51" t="s">
        <v>6</v>
      </c>
      <c r="AB15" s="44">
        <f>VLOOKUP(Tabulka38111426[[#This Row],[Tým]],Tabulka17101325[[Tým]:[ ]],2,FALSE)</f>
        <v>23.055</v>
      </c>
      <c r="AC15" s="44">
        <f>VLOOKUP(Tabulka38111426[[#This Row],[Tým]],Tabulka17101325[[Tým]:[ ]],3,FALSE)</f>
        <v>23.417000000000002</v>
      </c>
      <c r="AD15" s="25">
        <f>VLOOKUP(Tabulka38111426[[#This Row],[Tým]],Tabulka17101325[[Tým]:[ ]],4,FALSE)</f>
        <v>23.417000000000002</v>
      </c>
      <c r="AE15" s="25">
        <f>VLOOKUP(Tabulka38111426[[#This Row],[Tým]],Tabulka17101325[[Tým]:[ ]],7,FALSE)</f>
        <v>23.417000000000002</v>
      </c>
      <c r="AF15" s="29">
        <f>IF(Tabulka38111426[[#This Row],[Výsledný čas]]="N",5,IF(Tabulka38111426[[#This Row],[Výsledný čas]]="D",0,IF(Tabulka38111426[[#This Row],[Výsledný čas]]="NEÚČAST",0,Tabulka4[[#Totals],[Týmy muži]]+6-Tabulka38111426[[#This Row],[Umístění]])))</f>
        <v>13</v>
      </c>
      <c r="AH15" s="31">
        <f>_xlfn.RANK.EQ(Tabulka59121527[[#This Row],[Body]],Tabulka59121527[Body],0)</f>
        <v>12</v>
      </c>
      <c r="AI15" s="51" t="s">
        <v>18</v>
      </c>
      <c r="AJ15" s="188">
        <f>VLOOKUP(Tabulka59121527[[#This Row],[Tým]],Tabulka38111426[[Tým]:[Body]],6,FALSE)+Tabulka59121527[[#This Row],[ ]]</f>
        <v>38</v>
      </c>
      <c r="AK15" s="82">
        <f>VLOOKUP(Tabulka59121527[[#This Row],[Tým]],Tabulka591215[[Tým]:[Body]],2,FALSE)</f>
        <v>22</v>
      </c>
      <c r="AL15" s="92">
        <f>Tabulka59121527[[#This Row],[Umístění]]</f>
        <v>12</v>
      </c>
      <c r="AM15" s="15"/>
      <c r="AP15" s="1"/>
    </row>
    <row r="16" spans="2:42" ht="24.95" customHeight="1" x14ac:dyDescent="0.45">
      <c r="B16" s="175" t="s">
        <v>42</v>
      </c>
      <c r="C16" s="25">
        <f>IF(Tabulka17101325[[#This Row],[ ]]="","",IF(Tabulka17101325[[#This Row],[ ]]="NEÚČAST","",IF(OR(Tabulka17101325[Výsledný čas]="N",Tabulka17101325[Výsledný čas]="D"),$L$4-$L$5,_xlfn.RANK.EQ(Tabulka17101325[[#This Row],[ ]],Tabulka17101325[[ ]],1))))</f>
        <v>13</v>
      </c>
      <c r="D16" s="162" t="s">
        <v>6</v>
      </c>
      <c r="E16" s="122">
        <v>23.055</v>
      </c>
      <c r="F16" s="120">
        <v>23.417000000000002</v>
      </c>
      <c r="G16" s="29">
        <f>IF(OR(Tabulka17101325[[#This Row],[LP]]="N",Tabulka17101325[[#This Row],[PP]]="N"),"N",IF(OR(Tabulka17101325[[#This Row],[LP]]="D",Tabulka17101325[[#This Row],[PP]]="D"),"D",IF(OR(Tabulka17101325[[#This Row],[LP]]="NEÚČAST",Tabulka17101325[[#This Row],[PP]]="NEÚČAST"),"NEÚČAST",IF(OR(Tabulka17101325[[#This Row],[LP]]="",Tabulka17101325[[#This Row],[PP]]=""),"",MAX(Tabulka17101325[[#This Row],[LP]:[PP]])))))</f>
        <v>23.417000000000002</v>
      </c>
      <c r="H16" s="9">
        <f>COUNTIF(Tabulka17101325[[#This Row],[Tým]],"*")</f>
        <v>1</v>
      </c>
      <c r="I16" s="9">
        <f>COUNTIF(Tabulka17101325[[#This Row],[Výsledný čas]],"NEÚČAST")</f>
        <v>0</v>
      </c>
      <c r="J16" s="9">
        <f>IF(Tabulka17101325[[#This Row],[Výsledný čas]]="N",998,IF(Tabulka17101325[[#This Row],[Výsledný čas]]="D",998,IF(Tabulka17101325[[#This Row],[Výsledný čas]]="","",Tabulka17101325[[#This Row],[Výsledný čas]])))</f>
        <v>23.417000000000002</v>
      </c>
      <c r="N16" s="68"/>
      <c r="P16" s="7"/>
      <c r="Q16" s="8"/>
      <c r="R16" s="8"/>
      <c r="Z16" s="31">
        <f>IF(OR(Tabulka38111426[Výsledný čas]="N",Tabulka38111426[Výsledný čas]="D",Tabulka38111426[Výsledný čas]="NEÚČAST"),Uvod!$E$4,_xlfn.RANK.EQ(Tabulka38111426[[#This Row],[ ]],Tabulka38111426[[ ]],1))</f>
        <v>13</v>
      </c>
      <c r="AA16" s="97" t="s">
        <v>33</v>
      </c>
      <c r="AB16" s="44">
        <f>VLOOKUP(Tabulka38111426[[#This Row],[Tým]],Tabulka17101325[[Tým]:[ ]],2,FALSE)</f>
        <v>22.196999999999999</v>
      </c>
      <c r="AC16" s="44">
        <f>VLOOKUP(Tabulka38111426[[#This Row],[Tým]],Tabulka17101325[[Tým]:[ ]],3,FALSE)</f>
        <v>25.716000000000001</v>
      </c>
      <c r="AD16" s="25">
        <f>VLOOKUP(Tabulka38111426[[#This Row],[Tým]],Tabulka17101325[[Tým]:[ ]],4,FALSE)</f>
        <v>25.716000000000001</v>
      </c>
      <c r="AE16" s="25">
        <f>VLOOKUP(Tabulka38111426[[#This Row],[Tým]],Tabulka17101325[[Tým]:[ ]],7,FALSE)</f>
        <v>25.716000000000001</v>
      </c>
      <c r="AF16" s="29">
        <f>IF(Tabulka38111426[[#This Row],[Výsledný čas]]="N",5,IF(Tabulka38111426[[#This Row],[Výsledný čas]]="D",0,IF(Tabulka38111426[[#This Row],[Výsledný čas]]="NEÚČAST",0,Tabulka4[[#Totals],[Týmy muži]]+6-Tabulka38111426[[#This Row],[Umístění]])))</f>
        <v>12</v>
      </c>
      <c r="AH16" s="31">
        <f>_xlfn.RANK.EQ(Tabulka59121527[[#This Row],[Body]],Tabulka59121527[Body],0)</f>
        <v>13</v>
      </c>
      <c r="AI16" s="51" t="s">
        <v>31</v>
      </c>
      <c r="AJ16" s="188">
        <f>VLOOKUP(Tabulka59121527[[#This Row],[Tým]],Tabulka38111426[[Tým]:[Body]],6,FALSE)+Tabulka59121527[[#This Row],[ ]]</f>
        <v>37</v>
      </c>
      <c r="AK16" s="82">
        <f>VLOOKUP(Tabulka59121527[[#This Row],[Tým]],Tabulka591215[[Tým]:[Body]],2,FALSE)</f>
        <v>29</v>
      </c>
      <c r="AL16" s="92">
        <f>Tabulka59121527[[#This Row],[Umístění]]</f>
        <v>13</v>
      </c>
      <c r="AM16" s="15"/>
      <c r="AP16" s="1"/>
    </row>
    <row r="17" spans="2:42" ht="24.95" customHeight="1" x14ac:dyDescent="0.45">
      <c r="B17" s="175" t="s">
        <v>54</v>
      </c>
      <c r="C17" s="25">
        <f>IF(Tabulka17101325[[#This Row],[ ]]="","",IF(Tabulka17101325[[#This Row],[ ]]="NEÚČAST","",IF(OR(Tabulka17101325[Výsledný čas]="N",Tabulka17101325[Výsledný čas]="D"),$L$4-$L$5,_xlfn.RANK.EQ(Tabulka17101325[[#This Row],[ ]],Tabulka17101325[[ ]],1))))</f>
        <v>14</v>
      </c>
      <c r="D17" s="162" t="s">
        <v>92</v>
      </c>
      <c r="E17" s="120">
        <v>23.667000000000002</v>
      </c>
      <c r="F17" s="120">
        <v>22.603000000000002</v>
      </c>
      <c r="G17" s="29">
        <f>IF(OR(Tabulka17101325[[#This Row],[LP]]="N",Tabulka17101325[[#This Row],[PP]]="N"),"N",IF(OR(Tabulka17101325[[#This Row],[LP]]="D",Tabulka17101325[[#This Row],[PP]]="D"),"D",IF(OR(Tabulka17101325[[#This Row],[LP]]="NEÚČAST",Tabulka17101325[[#This Row],[PP]]="NEÚČAST"),"NEÚČAST",IF(OR(Tabulka17101325[[#This Row],[LP]]="",Tabulka17101325[[#This Row],[PP]]=""),"",MAX(Tabulka17101325[[#This Row],[LP]:[PP]])))))</f>
        <v>23.667000000000002</v>
      </c>
      <c r="H17" s="9">
        <f>COUNTIF(Tabulka17101325[[#This Row],[Tým]],"*")</f>
        <v>1</v>
      </c>
      <c r="I17" s="9">
        <f>COUNTIF(Tabulka17101325[[#This Row],[Výsledný čas]],"NEÚČAST")</f>
        <v>0</v>
      </c>
      <c r="J17" s="9">
        <f>IF(Tabulka17101325[[#This Row],[Výsledný čas]]="N",998,IF(Tabulka17101325[[#This Row],[Výsledný čas]]="D",998,IF(Tabulka17101325[[#This Row],[Výsledný čas]]="","",Tabulka17101325[[#This Row],[Výsledný čas]])))</f>
        <v>23.667000000000002</v>
      </c>
      <c r="P17" s="7"/>
      <c r="Q17" s="8"/>
      <c r="R17" s="8"/>
      <c r="Z17" s="31">
        <f>IF(OR(Tabulka38111426[Výsledný čas]="N",Tabulka38111426[Výsledný čas]="D",Tabulka38111426[Výsledný čas]="NEÚČAST"),Uvod!$E$4,_xlfn.RANK.EQ(Tabulka38111426[[#This Row],[ ]],Tabulka38111426[[ ]],1))</f>
        <v>14</v>
      </c>
      <c r="AA17" s="51" t="s">
        <v>15</v>
      </c>
      <c r="AB17" s="44">
        <f>VLOOKUP(Tabulka38111426[[#This Row],[Tým]],Tabulka17101325[[Tým]:[ ]],2,FALSE)</f>
        <v>24.907</v>
      </c>
      <c r="AC17" s="44">
        <f>VLOOKUP(Tabulka38111426[[#This Row],[Tým]],Tabulka17101325[[Tým]:[ ]],3,FALSE)</f>
        <v>25.803000000000001</v>
      </c>
      <c r="AD17" s="25">
        <f>VLOOKUP(Tabulka38111426[[#This Row],[Tým]],Tabulka17101325[[Tým]:[ ]],4,FALSE)</f>
        <v>25.803000000000001</v>
      </c>
      <c r="AE17" s="25">
        <f>VLOOKUP(Tabulka38111426[[#This Row],[Tým]],Tabulka17101325[[Tým]:[ ]],7,FALSE)</f>
        <v>25.803000000000001</v>
      </c>
      <c r="AF17" s="29">
        <f>IF(Tabulka38111426[[#This Row],[Výsledný čas]]="N",5,IF(Tabulka38111426[[#This Row],[Výsledný čas]]="D",0,IF(Tabulka38111426[[#This Row],[Výsledný čas]]="NEÚČAST",0,Tabulka4[[#Totals],[Týmy muži]]+6-Tabulka38111426[[#This Row],[Umístění]])))</f>
        <v>11</v>
      </c>
      <c r="AH17" s="31">
        <f>_xlfn.RANK.EQ(Tabulka59121527[[#This Row],[Body]],Tabulka59121527[Body],0)</f>
        <v>13</v>
      </c>
      <c r="AI17" s="51" t="s">
        <v>25</v>
      </c>
      <c r="AJ17" s="188">
        <f>VLOOKUP(Tabulka59121527[[#This Row],[Tým]],Tabulka38111426[[Tým]:[Body]],6,FALSE)+Tabulka59121527[[#This Row],[ ]]</f>
        <v>37</v>
      </c>
      <c r="AK17" s="82">
        <f>VLOOKUP(Tabulka59121527[[#This Row],[Tým]],Tabulka591215[[Tým]:[Body]],2,FALSE)</f>
        <v>22</v>
      </c>
      <c r="AL17" s="92">
        <f>Tabulka59121527[[#This Row],[Umístění]]</f>
        <v>13</v>
      </c>
      <c r="AM17" s="15"/>
      <c r="AP17" s="1"/>
    </row>
    <row r="18" spans="2:42" ht="24.95" customHeight="1" x14ac:dyDescent="0.45">
      <c r="B18" s="175" t="s">
        <v>99</v>
      </c>
      <c r="C18" s="25">
        <f>IF(Tabulka17101325[[#This Row],[ ]]="","",IF(Tabulka17101325[[#This Row],[ ]]="NEÚČAST","",IF(OR(Tabulka17101325[Výsledný čas]="N",Tabulka17101325[Výsledný čas]="D"),$L$4-$L$5,_xlfn.RANK.EQ(Tabulka17101325[[#This Row],[ ]],Tabulka17101325[[ ]],1))))</f>
        <v>15</v>
      </c>
      <c r="D18" s="164" t="s">
        <v>33</v>
      </c>
      <c r="E18" s="120">
        <v>22.196999999999999</v>
      </c>
      <c r="F18" s="120">
        <v>25.716000000000001</v>
      </c>
      <c r="G18" s="29">
        <f>IF(OR(Tabulka17101325[[#This Row],[LP]]="N",Tabulka17101325[[#This Row],[PP]]="N"),"N",IF(OR(Tabulka17101325[[#This Row],[LP]]="D",Tabulka17101325[[#This Row],[PP]]="D"),"D",IF(OR(Tabulka17101325[[#This Row],[LP]]="NEÚČAST",Tabulka17101325[[#This Row],[PP]]="NEÚČAST"),"NEÚČAST",IF(OR(Tabulka17101325[[#This Row],[LP]]="",Tabulka17101325[[#This Row],[PP]]=""),"",MAX(Tabulka17101325[[#This Row],[LP]:[PP]])))))</f>
        <v>25.716000000000001</v>
      </c>
      <c r="H18" s="9">
        <f>COUNTIF(Tabulka17101325[[#This Row],[Tým]],"*")</f>
        <v>1</v>
      </c>
      <c r="I18" s="9">
        <f>COUNTIF(Tabulka17101325[[#This Row],[Výsledný čas]],"NEÚČAST")</f>
        <v>0</v>
      </c>
      <c r="J18" s="9">
        <f>IF(Tabulka17101325[[#This Row],[Výsledný čas]]="N",998,IF(Tabulka17101325[[#This Row],[Výsledný čas]]="D",998,IF(Tabulka17101325[[#This Row],[Výsledný čas]]="","",Tabulka17101325[[#This Row],[Výsledný čas]])))</f>
        <v>25.716000000000001</v>
      </c>
      <c r="P18" s="7"/>
      <c r="Q18" s="8"/>
      <c r="R18" s="8"/>
      <c r="Z18" s="31">
        <f>IF(OR(Tabulka38111426[Výsledný čas]="N",Tabulka38111426[Výsledný čas]="D",Tabulka38111426[Výsledný čas]="NEÚČAST"),Uvod!$E$4,_xlfn.RANK.EQ(Tabulka38111426[[#This Row],[ ]],Tabulka38111426[[ ]],1))</f>
        <v>15</v>
      </c>
      <c r="AA18" s="51" t="s">
        <v>16</v>
      </c>
      <c r="AB18" s="44">
        <f>VLOOKUP(Tabulka38111426[[#This Row],[Tým]],Tabulka17101325[[Tým]:[ ]],2,FALSE)</f>
        <v>29.864999999999998</v>
      </c>
      <c r="AC18" s="44">
        <f>VLOOKUP(Tabulka38111426[[#This Row],[Tým]],Tabulka17101325[[Tým]:[ ]],3,FALSE)</f>
        <v>16.288</v>
      </c>
      <c r="AD18" s="25">
        <f>VLOOKUP(Tabulka38111426[[#This Row],[Tým]],Tabulka17101325[[Tým]:[ ]],4,FALSE)</f>
        <v>29.864999999999998</v>
      </c>
      <c r="AE18" s="25">
        <f>VLOOKUP(Tabulka38111426[[#This Row],[Tým]],Tabulka17101325[[Tým]:[ ]],7,FALSE)</f>
        <v>29.864999999999998</v>
      </c>
      <c r="AF18" s="29">
        <f>IF(Tabulka38111426[[#This Row],[Výsledný čas]]="N",5,IF(Tabulka38111426[[#This Row],[Výsledný čas]]="D",0,IF(Tabulka38111426[[#This Row],[Výsledný čas]]="NEÚČAST",0,Tabulka4[[#Totals],[Týmy muži]]+6-Tabulka38111426[[#This Row],[Umístění]])))</f>
        <v>10</v>
      </c>
      <c r="AH18" s="31">
        <f>_xlfn.RANK.EQ(Tabulka59121527[[#This Row],[Body]],Tabulka59121527[Body],0)</f>
        <v>15</v>
      </c>
      <c r="AI18" s="51" t="s">
        <v>14</v>
      </c>
      <c r="AJ18" s="188">
        <f>VLOOKUP(Tabulka59121527[[#This Row],[Tým]],Tabulka38111426[[Tým]:[Body]],6,FALSE)+Tabulka59121527[[#This Row],[ ]]</f>
        <v>35</v>
      </c>
      <c r="AK18" s="82">
        <f>VLOOKUP(Tabulka59121527[[#This Row],[Tým]],Tabulka591215[[Tým]:[Body]],2,FALSE)</f>
        <v>18</v>
      </c>
      <c r="AL18" s="92">
        <f>Tabulka59121527[[#This Row],[Umístění]]</f>
        <v>15</v>
      </c>
      <c r="AM18" s="15"/>
      <c r="AP18" s="1"/>
    </row>
    <row r="19" spans="2:42" ht="24.95" customHeight="1" x14ac:dyDescent="0.45">
      <c r="B19" s="175" t="s">
        <v>100</v>
      </c>
      <c r="C19" s="25">
        <f>IF(Tabulka17101325[[#This Row],[ ]]="","",IF(Tabulka17101325[[#This Row],[ ]]="NEÚČAST","",IF(OR(Tabulka17101325[Výsledný čas]="N",Tabulka17101325[Výsledný čas]="D"),$L$4-$L$5,_xlfn.RANK.EQ(Tabulka17101325[[#This Row],[ ]],Tabulka17101325[[ ]],1))))</f>
        <v>16</v>
      </c>
      <c r="D19" s="162" t="s">
        <v>15</v>
      </c>
      <c r="E19" s="120">
        <v>24.907</v>
      </c>
      <c r="F19" s="120">
        <v>25.803000000000001</v>
      </c>
      <c r="G19" s="29">
        <f>IF(OR(Tabulka17101325[[#This Row],[LP]]="N",Tabulka17101325[[#This Row],[PP]]="N"),"N",IF(OR(Tabulka17101325[[#This Row],[LP]]="D",Tabulka17101325[[#This Row],[PP]]="D"),"D",IF(OR(Tabulka17101325[[#This Row],[LP]]="NEÚČAST",Tabulka17101325[[#This Row],[PP]]="NEÚČAST"),"NEÚČAST",IF(OR(Tabulka17101325[[#This Row],[LP]]="",Tabulka17101325[[#This Row],[PP]]=""),"",MAX(Tabulka17101325[[#This Row],[LP]:[PP]])))))</f>
        <v>25.803000000000001</v>
      </c>
      <c r="H19" s="9">
        <f>COUNTIF(Tabulka17101325[[#This Row],[Tým]],"*")</f>
        <v>1</v>
      </c>
      <c r="I19" s="9">
        <f>COUNTIF(Tabulka17101325[[#This Row],[Výsledný čas]],"NEÚČAST")</f>
        <v>0</v>
      </c>
      <c r="J19" s="9">
        <f>IF(Tabulka17101325[[#This Row],[Výsledný čas]]="N",998,IF(Tabulka17101325[[#This Row],[Výsledný čas]]="D",998,IF(Tabulka17101325[[#This Row],[Výsledný čas]]="","",Tabulka17101325[[#This Row],[Výsledný čas]])))</f>
        <v>25.803000000000001</v>
      </c>
      <c r="N19" s="68"/>
      <c r="P19" s="7"/>
      <c r="Q19" s="8"/>
      <c r="R19" s="8"/>
      <c r="Z19" s="31">
        <f>IF(OR(Tabulka38111426[Výsledný čas]="N",Tabulka38111426[Výsledný čas]="D",Tabulka38111426[Výsledný čas]="NEÚČAST"),Uvod!$E$4,_xlfn.RANK.EQ(Tabulka38111426[[#This Row],[ ]],Tabulka38111426[[ ]],1))</f>
        <v>16</v>
      </c>
      <c r="AA19" s="51" t="s">
        <v>20</v>
      </c>
      <c r="AB19" s="44">
        <f>VLOOKUP(Tabulka38111426[[#This Row],[Tým]],Tabulka17101325[[Tým]:[ ]],2,FALSE)</f>
        <v>19.920000000000002</v>
      </c>
      <c r="AC19" s="44">
        <f>VLOOKUP(Tabulka38111426[[#This Row],[Tým]],Tabulka17101325[[Tým]:[ ]],3,FALSE)</f>
        <v>32.866</v>
      </c>
      <c r="AD19" s="25">
        <f>VLOOKUP(Tabulka38111426[[#This Row],[Tým]],Tabulka17101325[[Tým]:[ ]],4,FALSE)</f>
        <v>32.866</v>
      </c>
      <c r="AE19" s="25">
        <f>VLOOKUP(Tabulka38111426[[#This Row],[Tým]],Tabulka17101325[[Tým]:[ ]],7,FALSE)</f>
        <v>32.866</v>
      </c>
      <c r="AF19" s="29">
        <f>IF(Tabulka38111426[[#This Row],[Výsledný čas]]="N",5,IF(Tabulka38111426[[#This Row],[Výsledný čas]]="D",0,IF(Tabulka38111426[[#This Row],[Výsledný čas]]="NEÚČAST",0,Tabulka4[[#Totals],[Týmy muži]]+6-Tabulka38111426[[#This Row],[Umístění]])))</f>
        <v>9</v>
      </c>
      <c r="AH19" s="31">
        <f>_xlfn.RANK.EQ(Tabulka59121527[[#This Row],[Body]],Tabulka59121527[Body],0)</f>
        <v>16</v>
      </c>
      <c r="AI19" s="97" t="s">
        <v>13</v>
      </c>
      <c r="AJ19" s="188">
        <f>VLOOKUP(Tabulka59121527[[#This Row],[Tým]],Tabulka38111426[[Tým]:[Body]],6,FALSE)+Tabulka59121527[[#This Row],[ ]]</f>
        <v>33</v>
      </c>
      <c r="AK19" s="82">
        <f>VLOOKUP(Tabulka59121527[[#This Row],[Tým]],Tabulka591215[[Tým]:[Body]],2,FALSE)</f>
        <v>28</v>
      </c>
      <c r="AL19" s="92">
        <f>Tabulka59121527[[#This Row],[Umístění]]</f>
        <v>16</v>
      </c>
      <c r="AM19" s="15"/>
      <c r="AP19" s="1"/>
    </row>
    <row r="20" spans="2:42" ht="24.95" customHeight="1" thickBot="1" x14ac:dyDescent="0.5">
      <c r="B20" s="175" t="s">
        <v>66</v>
      </c>
      <c r="C20" s="25">
        <f>IF(Tabulka17101325[[#This Row],[ ]]="","",IF(Tabulka17101325[[#This Row],[ ]]="NEÚČAST","",IF(OR(Tabulka17101325[Výsledný čas]="N",Tabulka17101325[Výsledný čas]="D"),$L$4-$L$5,_xlfn.RANK.EQ(Tabulka17101325[[#This Row],[ ]],Tabulka17101325[[ ]],1))))</f>
        <v>17</v>
      </c>
      <c r="D20" s="162" t="s">
        <v>16</v>
      </c>
      <c r="E20" s="120">
        <v>29.864999999999998</v>
      </c>
      <c r="F20" s="121">
        <v>16.288</v>
      </c>
      <c r="G20" s="29">
        <f>IF(OR(Tabulka17101325[[#This Row],[LP]]="N",Tabulka17101325[[#This Row],[PP]]="N"),"N",IF(OR(Tabulka17101325[[#This Row],[LP]]="D",Tabulka17101325[[#This Row],[PP]]="D"),"D",IF(OR(Tabulka17101325[[#This Row],[LP]]="NEÚČAST",Tabulka17101325[[#This Row],[PP]]="NEÚČAST"),"NEÚČAST",IF(OR(Tabulka17101325[[#This Row],[LP]]="",Tabulka17101325[[#This Row],[PP]]=""),"",MAX(Tabulka17101325[[#This Row],[LP]:[PP]])))))</f>
        <v>29.864999999999998</v>
      </c>
      <c r="H20" s="9">
        <f>COUNTIF(Tabulka17101325[[#This Row],[Tým]],"*")</f>
        <v>1</v>
      </c>
      <c r="I20" s="9">
        <f>COUNTIF(Tabulka17101325[[#This Row],[Výsledný čas]],"NEÚČAST")</f>
        <v>0</v>
      </c>
      <c r="J20" s="9">
        <f>IF(Tabulka17101325[[#This Row],[Výsledný čas]]="N",998,IF(Tabulka17101325[[#This Row],[Výsledný čas]]="D",998,IF(Tabulka17101325[[#This Row],[Výsledný čas]]="","",Tabulka17101325[[#This Row],[Výsledný čas]])))</f>
        <v>29.864999999999998</v>
      </c>
      <c r="N20" s="68"/>
      <c r="P20" s="7"/>
      <c r="Q20" s="8"/>
      <c r="R20" s="8"/>
      <c r="Z20" s="31">
        <f>IF(OR(Tabulka38111426[Výsledný čas]="N",Tabulka38111426[Výsledný čas]="D",Tabulka38111426[Výsledný čas]="NEÚČAST"),Uvod!$E$4,_xlfn.RANK.EQ(Tabulka38111426[[#This Row],[ ]],Tabulka38111426[[ ]],1))</f>
        <v>17</v>
      </c>
      <c r="AA20" s="51" t="s">
        <v>31</v>
      </c>
      <c r="AB20" s="44">
        <f>VLOOKUP(Tabulka38111426[[#This Row],[Tým]],Tabulka17101325[[Tým]:[ ]],2,FALSE)</f>
        <v>34.904000000000003</v>
      </c>
      <c r="AC20" s="44">
        <f>VLOOKUP(Tabulka38111426[[#This Row],[Tým]],Tabulka17101325[[Tým]:[ ]],3,FALSE)</f>
        <v>37.085000000000001</v>
      </c>
      <c r="AD20" s="25">
        <f>VLOOKUP(Tabulka38111426[[#This Row],[Tým]],Tabulka17101325[[Tým]:[ ]],4,FALSE)</f>
        <v>37.085000000000001</v>
      </c>
      <c r="AE20" s="25">
        <f>VLOOKUP(Tabulka38111426[[#This Row],[Tým]],Tabulka17101325[[Tým]:[ ]],7,FALSE)</f>
        <v>37.085000000000001</v>
      </c>
      <c r="AF20" s="29">
        <f>IF(Tabulka38111426[[#This Row],[Výsledný čas]]="N",5,IF(Tabulka38111426[[#This Row],[Výsledný čas]]="D",0,IF(Tabulka38111426[[#This Row],[Výsledný čas]]="NEÚČAST",0,Tabulka4[[#Totals],[Týmy muži]]+6-Tabulka38111426[[#This Row],[Umístění]])))</f>
        <v>8</v>
      </c>
      <c r="AH20" s="31">
        <f>_xlfn.RANK.EQ(Tabulka59121527[[#This Row],[Body]],Tabulka59121527[Body],0)</f>
        <v>17</v>
      </c>
      <c r="AI20" s="51" t="s">
        <v>24</v>
      </c>
      <c r="AJ20" s="188">
        <f>VLOOKUP(Tabulka59121527[[#This Row],[Tým]],Tabulka38111426[[Tým]:[Body]],6,FALSE)+Tabulka59121527[[#This Row],[ ]]</f>
        <v>32</v>
      </c>
      <c r="AK20" s="83">
        <f>VLOOKUP(Tabulka59121527[[#This Row],[Tým]],Tabulka591215[[Tým]:[Body]],2,FALSE)</f>
        <v>14</v>
      </c>
      <c r="AL20" s="92">
        <f>Tabulka59121527[[#This Row],[Umístění]]</f>
        <v>17</v>
      </c>
      <c r="AM20" s="15"/>
      <c r="AP20" s="1"/>
    </row>
    <row r="21" spans="2:42" ht="24.95" customHeight="1" x14ac:dyDescent="0.45">
      <c r="B21" s="176" t="s">
        <v>65</v>
      </c>
      <c r="C21" s="25">
        <f>IF(Tabulka17101325[[#This Row],[ ]]="","",IF(Tabulka17101325[[#This Row],[ ]]="NEÚČAST","",IF(OR(Tabulka17101325[Výsledný čas]="N",Tabulka17101325[Výsledný čas]="D"),$L$4-$L$5,_xlfn.RANK.EQ(Tabulka17101325[[#This Row],[ ]],Tabulka17101325[[ ]],1))))</f>
        <v>18</v>
      </c>
      <c r="D21" s="162" t="s">
        <v>20</v>
      </c>
      <c r="E21" s="120">
        <v>19.920000000000002</v>
      </c>
      <c r="F21" s="120">
        <v>32.866</v>
      </c>
      <c r="G21" s="29">
        <f>IF(OR(Tabulka17101325[[#This Row],[LP]]="N",Tabulka17101325[[#This Row],[PP]]="N"),"N",IF(OR(Tabulka17101325[[#This Row],[LP]]="D",Tabulka17101325[[#This Row],[PP]]="D"),"D",IF(OR(Tabulka17101325[[#This Row],[LP]]="NEÚČAST",Tabulka17101325[[#This Row],[PP]]="NEÚČAST"),"NEÚČAST",IF(OR(Tabulka17101325[[#This Row],[LP]]="",Tabulka17101325[[#This Row],[PP]]=""),"",MAX(Tabulka17101325[[#This Row],[LP]:[PP]])))))</f>
        <v>32.866</v>
      </c>
      <c r="H21" s="9">
        <f>COUNTIF(Tabulka17101325[[#This Row],[Tým]],"*")</f>
        <v>1</v>
      </c>
      <c r="I21" s="9">
        <f>COUNTIF(Tabulka17101325[[#This Row],[Výsledný čas]],"NEÚČAST")</f>
        <v>0</v>
      </c>
      <c r="J21" s="9">
        <f>IF(Tabulka17101325[[#This Row],[Výsledný čas]]="N",998,IF(Tabulka17101325[[#This Row],[Výsledný čas]]="D",998,IF(Tabulka17101325[[#This Row],[Výsledný čas]]="","",Tabulka17101325[[#This Row],[Výsledný čas]])))</f>
        <v>32.866</v>
      </c>
      <c r="N21" s="70"/>
      <c r="P21" s="7"/>
      <c r="Q21" s="8"/>
      <c r="R21" s="8"/>
      <c r="Z21" s="31">
        <f>IF(OR(Tabulka38111426[Výsledný čas]="N",Tabulka38111426[Výsledný čas]="D",Tabulka38111426[Výsledný čas]="NEÚČAST"),Uvod!$E$4,_xlfn.RANK.EQ(Tabulka38111426[[#This Row],[ ]],Tabulka38111426[[ ]],1))</f>
        <v>19</v>
      </c>
      <c r="AA21" s="97" t="s">
        <v>13</v>
      </c>
      <c r="AB21" s="44">
        <f>VLOOKUP(Tabulka38111426[[#This Row],[Tým]],Tabulka17101325[[Tým]:[ ]],2,FALSE)</f>
        <v>15.108000000000001</v>
      </c>
      <c r="AC21" s="44" t="str">
        <f>VLOOKUP(Tabulka38111426[[#This Row],[Tým]],Tabulka17101325[[Tým]:[ ]],3,FALSE)</f>
        <v>N</v>
      </c>
      <c r="AD21" s="25" t="str">
        <f>VLOOKUP(Tabulka38111426[[#This Row],[Tým]],Tabulka17101325[[Tým]:[ ]],4,FALSE)</f>
        <v>N</v>
      </c>
      <c r="AE21" s="25">
        <f>VLOOKUP(Tabulka38111426[[#This Row],[Tým]],Tabulka17101325[[Tým]:[ ]],7,FALSE)</f>
        <v>998</v>
      </c>
      <c r="AF21" s="29">
        <f>IF(Tabulka38111426[[#This Row],[Výsledný čas]]="N",5,IF(Tabulka38111426[[#This Row],[Výsledný čas]]="D",0,IF(Tabulka38111426[[#This Row],[Výsledný čas]]="NEÚČAST",0,Tabulka4[[#Totals],[Týmy muži]]+6-Tabulka38111426[[#This Row],[Umístění]])))</f>
        <v>5</v>
      </c>
      <c r="AH21" s="31">
        <f>_xlfn.RANK.EQ(Tabulka59121527[[#This Row],[Body]],Tabulka59121527[Body],0)</f>
        <v>18</v>
      </c>
      <c r="AI21" s="97" t="s">
        <v>33</v>
      </c>
      <c r="AJ21" s="188">
        <f>VLOOKUP(Tabulka59121527[[#This Row],[Tým]],Tabulka38111426[[Tým]:[Body]],6,FALSE)+Tabulka59121527[[#This Row],[ ]]</f>
        <v>29</v>
      </c>
      <c r="AK21" s="82">
        <f>VLOOKUP(Tabulka59121527[[#This Row],[Tým]],Tabulka591215[[Tým]:[Body]],2,FALSE)</f>
        <v>17</v>
      </c>
      <c r="AL21" s="47">
        <f>Tabulka59121527[[#This Row],[Umístění]]</f>
        <v>18</v>
      </c>
    </row>
    <row r="22" spans="2:42" ht="24.95" customHeight="1" thickBot="1" x14ac:dyDescent="0.5">
      <c r="B22" s="175" t="s">
        <v>101</v>
      </c>
      <c r="C22" s="25">
        <f>IF(Tabulka17101325[[#This Row],[ ]]="","",IF(Tabulka17101325[[#This Row],[ ]]="NEÚČAST","",IF(OR(Tabulka17101325[Výsledný čas]="N",Tabulka17101325[Výsledný čas]="D"),$L$4-$L$5,_xlfn.RANK.EQ(Tabulka17101325[[#This Row],[ ]],Tabulka17101325[[ ]],1))))</f>
        <v>19</v>
      </c>
      <c r="D22" s="163" t="s">
        <v>31</v>
      </c>
      <c r="E22" s="120">
        <v>34.904000000000003</v>
      </c>
      <c r="F22" s="120">
        <v>37.085000000000001</v>
      </c>
      <c r="G22" s="29">
        <f>IF(OR(Tabulka17101325[[#This Row],[LP]]="N",Tabulka17101325[[#This Row],[PP]]="N"),"N",IF(OR(Tabulka17101325[[#This Row],[LP]]="D",Tabulka17101325[[#This Row],[PP]]="D"),"D",IF(OR(Tabulka17101325[[#This Row],[LP]]="NEÚČAST",Tabulka17101325[[#This Row],[PP]]="NEÚČAST"),"NEÚČAST",IF(OR(Tabulka17101325[[#This Row],[LP]]="",Tabulka17101325[[#This Row],[PP]]=""),"",MAX(Tabulka17101325[[#This Row],[LP]:[PP]])))))</f>
        <v>37.085000000000001</v>
      </c>
      <c r="H22" s="9">
        <f>COUNTIF(Tabulka17101325[[#This Row],[Tým]],"*")</f>
        <v>1</v>
      </c>
      <c r="I22" s="9">
        <f>COUNTIF(Tabulka17101325[[#This Row],[Výsledný čas]],"NEÚČAST")</f>
        <v>0</v>
      </c>
      <c r="J22" s="9">
        <f>IF(Tabulka17101325[[#This Row],[Výsledný čas]]="N",998,IF(Tabulka17101325[[#This Row],[Výsledný čas]]="D",998,IF(Tabulka17101325[[#This Row],[Výsledný čas]]="","",Tabulka17101325[[#This Row],[Výsledný čas]])))</f>
        <v>37.085000000000001</v>
      </c>
      <c r="P22" s="7"/>
      <c r="Q22" s="8"/>
      <c r="R22" s="8"/>
      <c r="Z22" s="33">
        <f>IF(OR(Tabulka38111426[Výsledný čas]="N",Tabulka38111426[Výsledný čas]="D",Tabulka38111426[Výsledný čas]="NEÚČAST"),Uvod!$E$4,_xlfn.RANK.EQ(Tabulka38111426[[#This Row],[ ]],Tabulka38111426[[ ]],1))</f>
        <v>19</v>
      </c>
      <c r="AA22" s="98" t="s">
        <v>17</v>
      </c>
      <c r="AB22" s="45" t="str">
        <f>VLOOKUP(Tabulka38111426[[#This Row],[Tým]],Tabulka17101325[[Tým]:[ ]],2,FALSE)</f>
        <v>NEÚČAST</v>
      </c>
      <c r="AC22" s="45" t="str">
        <f>VLOOKUP(Tabulka38111426[[#This Row],[Tým]],Tabulka17101325[[Tým]:[ ]],3,FALSE)</f>
        <v>NEÚČAST</v>
      </c>
      <c r="AD22" s="34" t="str">
        <f>VLOOKUP(Tabulka38111426[[#This Row],[Tým]],Tabulka17101325[[Tým]:[ ]],4,FALSE)</f>
        <v>NEÚČAST</v>
      </c>
      <c r="AE22" s="34" t="str">
        <f>VLOOKUP(Tabulka38111426[[#This Row],[Tým]],Tabulka17101325[[Tým]:[ ]],7,FALSE)</f>
        <v>NEÚČAST</v>
      </c>
      <c r="AF22" s="36">
        <f>IF(Tabulka38111426[[#This Row],[Výsledný čas]]="N",5,IF(Tabulka38111426[[#This Row],[Výsledný čas]]="D",0,IF(Tabulka38111426[[#This Row],[Výsledný čas]]="NEÚČAST",0,Tabulka4[[#Totals],[Týmy muži]]+6-Tabulka38111426[[#This Row],[Umístění]])))</f>
        <v>0</v>
      </c>
      <c r="AH22" s="33">
        <f>_xlfn.RANK.EQ(Tabulka59121527[[#This Row],[Body]],Tabulka59121527[Body],0)</f>
        <v>19</v>
      </c>
      <c r="AI22" s="98" t="s">
        <v>17</v>
      </c>
      <c r="AJ22" s="189">
        <f>VLOOKUP(Tabulka59121527[[#This Row],[Tým]],Tabulka38111426[[Tým]:[Body]],6,FALSE)+Tabulka59121527[[#This Row],[ ]]</f>
        <v>19</v>
      </c>
      <c r="AK22" s="82">
        <f>VLOOKUP(Tabulka59121527[[#This Row],[Tým]],Tabulka591215[[Tým]:[Body]],2,FALSE)</f>
        <v>19</v>
      </c>
      <c r="AL22" s="47">
        <f>Tabulka59121527[[#This Row],[Umístění]]</f>
        <v>19</v>
      </c>
    </row>
    <row r="23" spans="2:42" ht="24.95" customHeight="1" thickBot="1" x14ac:dyDescent="0.5">
      <c r="B23" s="175" t="s">
        <v>102</v>
      </c>
      <c r="C23" s="25">
        <f>IF(Tabulka17101325[[#This Row],[ ]]="","",IF(Tabulka17101325[[#This Row],[ ]]="NEÚČAST","",IF(OR(Tabulka17101325[Výsledný čas]="N",Tabulka17101325[Výsledný čas]="D"),$L$4-$L$5,_xlfn.RANK.EQ(Tabulka17101325[[#This Row],[ ]],Tabulka17101325[[ ]],1))))</f>
        <v>20</v>
      </c>
      <c r="D23" s="162" t="s">
        <v>13</v>
      </c>
      <c r="E23" s="120">
        <v>15.108000000000001</v>
      </c>
      <c r="F23" s="120" t="s">
        <v>9</v>
      </c>
      <c r="G23" s="29" t="str">
        <f>IF(OR(Tabulka17101325[[#This Row],[LP]]="N",Tabulka17101325[[#This Row],[PP]]="N"),"N",IF(OR(Tabulka17101325[[#This Row],[LP]]="D",Tabulka17101325[[#This Row],[PP]]="D"),"D",IF(OR(Tabulka17101325[[#This Row],[LP]]="NEÚČAST",Tabulka17101325[[#This Row],[PP]]="NEÚČAST"),"NEÚČAST",IF(OR(Tabulka17101325[[#This Row],[LP]]="",Tabulka17101325[[#This Row],[PP]]=""),"",MAX(Tabulka17101325[[#This Row],[LP]:[PP]])))))</f>
        <v>N</v>
      </c>
      <c r="H23" s="9">
        <f>COUNTIF(Tabulka17101325[[#This Row],[Tým]],"*")</f>
        <v>1</v>
      </c>
      <c r="I23" s="9">
        <f>COUNTIF(Tabulka17101325[[#This Row],[Výsledný čas]],"NEÚČAST")</f>
        <v>0</v>
      </c>
      <c r="J23" s="20">
        <f>IF(Tabulka17101325[[#This Row],[Výsledný čas]]="N",998,IF(Tabulka17101325[[#This Row],[Výsledný čas]]="D",998,IF(Tabulka17101325[[#This Row],[Výsledný čas]]="","",Tabulka17101325[[#This Row],[Výsledný čas]])))</f>
        <v>998</v>
      </c>
      <c r="P23" s="7"/>
      <c r="Q23" s="8"/>
      <c r="R23" s="8"/>
      <c r="AB23" s="3"/>
      <c r="AC23" s="3"/>
    </row>
    <row r="24" spans="2:42" ht="24.95" customHeight="1" thickBot="1" x14ac:dyDescent="0.45">
      <c r="B24" s="168" t="s">
        <v>103</v>
      </c>
      <c r="C24" s="34" t="str">
        <f>IF(Tabulka17101325[[#This Row],[ ]]="","",IF(Tabulka17101325[[#This Row],[ ]]="NEÚČAST","",IF(OR(Tabulka17101325[Výsledný čas]="N",Tabulka17101325[Výsledný čas]="D"),$L$4-$L$5,_xlfn.RANK.EQ(Tabulka17101325[[#This Row],[ ]],Tabulka17101325[[ ]],1))))</f>
        <v/>
      </c>
      <c r="D24" s="169" t="s">
        <v>17</v>
      </c>
      <c r="E24" s="125" t="s">
        <v>103</v>
      </c>
      <c r="F24" s="125" t="s">
        <v>103</v>
      </c>
      <c r="G24" s="36" t="str">
        <f>IF(OR(Tabulka17101325[[#This Row],[LP]]="N",Tabulka17101325[[#This Row],[PP]]="N"),"N",IF(OR(Tabulka17101325[[#This Row],[LP]]="D",Tabulka17101325[[#This Row],[PP]]="D"),"D",IF(OR(Tabulka17101325[[#This Row],[LP]]="NEÚČAST",Tabulka17101325[[#This Row],[PP]]="NEÚČAST"),"NEÚČAST",IF(OR(Tabulka17101325[[#This Row],[LP]]="",Tabulka17101325[[#This Row],[PP]]=""),"",MAX(Tabulka17101325[[#This Row],[LP]:[PP]])))))</f>
        <v>NEÚČAST</v>
      </c>
      <c r="H24" s="20">
        <f>COUNTIF(Tabulka17101325[[#This Row],[Tým]],"*")</f>
        <v>1</v>
      </c>
      <c r="I24" s="20">
        <f>COUNTIF(Tabulka17101325[[#This Row],[Výsledný čas]],"NEÚČAST")</f>
        <v>1</v>
      </c>
      <c r="J24" s="20" t="str">
        <f>IF(Tabulka17101325[[#This Row],[Výsledný čas]]="N",998,IF(Tabulka17101325[[#This Row],[Výsledný čas]]="D",998,IF(Tabulka17101325[[#This Row],[Výsledný čas]]="","",Tabulka17101325[[#This Row],[Výsledný čas]])))</f>
        <v>NEÚČAST</v>
      </c>
      <c r="N24" s="68"/>
      <c r="P24" s="10"/>
      <c r="Q24" s="8"/>
      <c r="R24" s="8"/>
      <c r="AB24" s="3"/>
      <c r="AC24" s="3"/>
      <c r="AP24" s="1"/>
    </row>
    <row r="25" spans="2:42" ht="24.95" customHeight="1" x14ac:dyDescent="0.4">
      <c r="B25" s="68"/>
      <c r="D25" s="14"/>
      <c r="E25" s="8"/>
      <c r="F25" s="8"/>
      <c r="N25" s="70"/>
      <c r="P25" s="10"/>
      <c r="Q25" s="8"/>
      <c r="R25" s="8"/>
      <c r="Y25" s="9"/>
      <c r="Z25" s="308" t="str">
        <f>N2</f>
        <v xml:space="preserve">Výsledky - Soutěže 3. kola NHHL 9.6. 2023 Rohov - ŽENY </v>
      </c>
      <c r="AA25" s="309"/>
      <c r="AB25" s="309"/>
      <c r="AC25" s="309"/>
      <c r="AD25" s="309"/>
      <c r="AE25" s="309"/>
      <c r="AF25" s="310"/>
      <c r="AH25" s="308" t="str">
        <f>"Pořadí po "&amp;Uvod!A5&amp;" kole NHHL - ŽENY"</f>
        <v>Pořadí po 3. kole NHHL - ŽENY</v>
      </c>
      <c r="AI25" s="309"/>
      <c r="AJ25" s="309"/>
      <c r="AK25" s="310"/>
      <c r="AL25" s="66"/>
      <c r="AP25" s="1"/>
    </row>
    <row r="26" spans="2:42" ht="24.95" customHeight="1" thickBot="1" x14ac:dyDescent="0.45">
      <c r="B26" s="70"/>
      <c r="D26" s="7"/>
      <c r="E26" s="8"/>
      <c r="F26" s="8"/>
      <c r="P26" s="10"/>
      <c r="Q26" s="8"/>
      <c r="R26" s="8"/>
      <c r="Y26" s="9"/>
      <c r="Z26" s="58" t="s">
        <v>1</v>
      </c>
      <c r="AA26" s="59" t="s">
        <v>2</v>
      </c>
      <c r="AB26" s="59" t="s">
        <v>3</v>
      </c>
      <c r="AC26" s="59" t="s">
        <v>4</v>
      </c>
      <c r="AD26" s="59" t="s">
        <v>5</v>
      </c>
      <c r="AE26" s="59" t="s">
        <v>27</v>
      </c>
      <c r="AF26" s="60" t="s">
        <v>7</v>
      </c>
      <c r="AH26" s="58" t="s">
        <v>1</v>
      </c>
      <c r="AI26" s="59" t="s">
        <v>2</v>
      </c>
      <c r="AJ26" s="59" t="s">
        <v>7</v>
      </c>
      <c r="AK26" s="60" t="s">
        <v>27</v>
      </c>
      <c r="AL26" s="9" t="s">
        <v>73</v>
      </c>
      <c r="AP26" s="1"/>
    </row>
    <row r="27" spans="2:42" ht="24.95" customHeight="1" x14ac:dyDescent="0.4">
      <c r="D27" s="16"/>
      <c r="P27" s="10"/>
      <c r="Q27" s="8"/>
      <c r="R27" s="8"/>
      <c r="Z27" s="77">
        <f>IF(OR(Tabulka381114228[Výsledný čas]="N",Tabulka381114228[Výsledný čas]="D",Tabulka381114228[Výsledný čas]="NEÚČAST"),Uvod!$E$6,_xlfn.RANK.EQ(Tabulka381114228[[#This Row],[ ]],Tabulka381114228[[ ]],1))</f>
        <v>1</v>
      </c>
      <c r="AA27" s="78" t="s">
        <v>22</v>
      </c>
      <c r="AB27" s="79">
        <f>VLOOKUP(Tabulka381114228[[#This Row],[Tým]],Tabulka171013630[[Tým]:[ ]],2,FALSE)</f>
        <v>16.417999999999999</v>
      </c>
      <c r="AC27" s="79">
        <f>VLOOKUP(Tabulka381114228[[#This Row],[Tým]],Tabulka171013630[[Tým]:[ ]],3,FALSE)</f>
        <v>16.762</v>
      </c>
      <c r="AD27" s="80">
        <f>VLOOKUP(Tabulka381114228[[#This Row],[Tým]],Tabulka171013630[[Tým]:[ ]],4,FALSE)</f>
        <v>16.762</v>
      </c>
      <c r="AE27" s="80">
        <f>VLOOKUP(Tabulka381114228[[#This Row],[Tým]],Tabulka171013630[[Tým]:[ ]],7,FALSE)</f>
        <v>16.762</v>
      </c>
      <c r="AF27" s="81">
        <f>IF(Tabulka381114228[[#This Row],[Výsledný čas]]="N",5,IF(Tabulka381114228[[#This Row],[Výsledný čas]]="D",0,IF(Tabulka381114228[[#This Row],[Výsledný čas]]="NEÚČAST",0,Tabulka8[[#Totals],[Týmy ženy]]+6-Tabulka381114228[[#This Row],[Umístění]])))</f>
        <v>15</v>
      </c>
      <c r="AH27" s="77">
        <f>_xlfn.RANK.EQ(Tabulka591215329[[#This Row],[Body]],Tabulka591215329[Body],0)</f>
        <v>1</v>
      </c>
      <c r="AI27" s="78" t="s">
        <v>34</v>
      </c>
      <c r="AJ27" s="187">
        <f>VLOOKUP(Tabulka591215329[[#This Row],[Tým]],Tabulka381114228[[Tým]:[Body]],6,FALSE)+Tabulka591215329[[#This Row],[ ]]</f>
        <v>43</v>
      </c>
      <c r="AK27" s="75">
        <f>VLOOKUP(Tabulka591215329[[#This Row],[Tým]],Tabulka5912153[[Tým]:[Body]],2,FALSE)</f>
        <v>30</v>
      </c>
      <c r="AL27" s="75">
        <f>Tabulka591215329[[#This Row],[Umístění]]</f>
        <v>1</v>
      </c>
      <c r="AP27" s="1"/>
    </row>
    <row r="28" spans="2:42" ht="24.95" customHeight="1" x14ac:dyDescent="0.4">
      <c r="D28" s="16"/>
      <c r="P28" s="10"/>
      <c r="Q28" s="8"/>
      <c r="R28" s="8"/>
      <c r="Z28" s="31">
        <f>IF(OR(Tabulka381114228[Výsledný čas]="N",Tabulka381114228[Výsledný čas]="D",Tabulka381114228[Výsledný čas]="NEÚČAST"),Uvod!$E$6,_xlfn.RANK.EQ(Tabulka381114228[[#This Row],[ ]],Tabulka381114228[[ ]],1))</f>
        <v>2</v>
      </c>
      <c r="AA28" s="51" t="s">
        <v>35</v>
      </c>
      <c r="AB28" s="44">
        <f>VLOOKUP(Tabulka381114228[[#This Row],[Tým]],Tabulka171013630[[Tým]:[ ]],2,FALSE)</f>
        <v>18.795999999999999</v>
      </c>
      <c r="AC28" s="44">
        <f>VLOOKUP(Tabulka381114228[[#This Row],[Tým]],Tabulka171013630[[Tým]:[ ]],3,FALSE)</f>
        <v>18.382999999999999</v>
      </c>
      <c r="AD28" s="25">
        <f>VLOOKUP(Tabulka381114228[[#This Row],[Tým]],Tabulka171013630[[Tým]:[ ]],4,FALSE)</f>
        <v>18.795999999999999</v>
      </c>
      <c r="AE28" s="25">
        <f>VLOOKUP(Tabulka381114228[[#This Row],[Tým]],Tabulka171013630[[Tým]:[ ]],7,FALSE)</f>
        <v>18.795999999999999</v>
      </c>
      <c r="AF28" s="29">
        <f>IF(Tabulka381114228[[#This Row],[Výsledný čas]]="N",5,IF(Tabulka381114228[[#This Row],[Výsledný čas]]="D",0,IF(Tabulka381114228[[#This Row],[Výsledný čas]]="NEÚČAST",0,Tabulka8[[#Totals],[Týmy ženy]]+6-Tabulka381114228[[#This Row],[Umístění]])))</f>
        <v>14</v>
      </c>
      <c r="AH28" s="31">
        <f>_xlfn.RANK.EQ(Tabulka591215329[[#This Row],[Body]],Tabulka591215329[Body],0)</f>
        <v>2</v>
      </c>
      <c r="AI28" s="51" t="s">
        <v>22</v>
      </c>
      <c r="AJ28" s="188">
        <f>VLOOKUP(Tabulka591215329[[#This Row],[Tým]],Tabulka381114228[[Tým]:[Body]],6,FALSE)+Tabulka591215329[[#This Row],[ ]]</f>
        <v>42</v>
      </c>
      <c r="AK28" s="75">
        <f>VLOOKUP(Tabulka591215329[[#This Row],[Tým]],Tabulka5912153[[Tým]:[Body]],2,FALSE)</f>
        <v>27</v>
      </c>
      <c r="AL28" s="75">
        <f>Tabulka591215329[[#This Row],[Umístění]]</f>
        <v>2</v>
      </c>
      <c r="AP28" s="1"/>
    </row>
    <row r="29" spans="2:42" ht="24.95" customHeight="1" x14ac:dyDescent="0.4">
      <c r="D29" s="16"/>
      <c r="N29" s="68"/>
      <c r="P29" s="7"/>
      <c r="Q29" s="8"/>
      <c r="R29" s="8"/>
      <c r="Z29" s="31">
        <f>IF(OR(Tabulka381114228[Výsledný čas]="N",Tabulka381114228[Výsledný čas]="D",Tabulka381114228[Výsledný čas]="NEÚČAST"),Uvod!$E$6,_xlfn.RANK.EQ(Tabulka381114228[[#This Row],[ ]],Tabulka381114228[[ ]],1))</f>
        <v>3</v>
      </c>
      <c r="AA29" s="51" t="s">
        <v>34</v>
      </c>
      <c r="AB29" s="44">
        <f>VLOOKUP(Tabulka381114228[[#This Row],[Tým]],Tabulka171013630[[Tým]:[ ]],2,FALSE)</f>
        <v>20.209</v>
      </c>
      <c r="AC29" s="44">
        <f>VLOOKUP(Tabulka381114228[[#This Row],[Tým]],Tabulka171013630[[Tým]:[ ]],3,FALSE)</f>
        <v>17.827999999999999</v>
      </c>
      <c r="AD29" s="25">
        <f>VLOOKUP(Tabulka381114228[[#This Row],[Tým]],Tabulka171013630[[Tým]:[ ]],4,FALSE)</f>
        <v>20.209</v>
      </c>
      <c r="AE29" s="25">
        <f>VLOOKUP(Tabulka381114228[[#This Row],[Tým]],Tabulka171013630[[Tým]:[ ]],7,FALSE)</f>
        <v>20.209</v>
      </c>
      <c r="AF29" s="29">
        <f>IF(Tabulka381114228[[#This Row],[Výsledný čas]]="N",5,IF(Tabulka381114228[[#This Row],[Výsledný čas]]="D",0,IF(Tabulka381114228[[#This Row],[Výsledný čas]]="NEÚČAST",0,Tabulka8[[#Totals],[Týmy ženy]]+6-Tabulka381114228[[#This Row],[Umístění]])))</f>
        <v>13</v>
      </c>
      <c r="AH29" s="31">
        <f>_xlfn.RANK.EQ(Tabulka591215329[[#This Row],[Body]],Tabulka591215329[Body],0)</f>
        <v>3</v>
      </c>
      <c r="AI29" s="51" t="s">
        <v>35</v>
      </c>
      <c r="AJ29" s="188">
        <f>VLOOKUP(Tabulka591215329[[#This Row],[Tým]],Tabulka381114228[[Tým]:[Body]],6,FALSE)+Tabulka591215329[[#This Row],[ ]]</f>
        <v>39</v>
      </c>
      <c r="AK29" s="75">
        <f>VLOOKUP(Tabulka591215329[[#This Row],[Tým]],Tabulka5912153[[Tým]:[Body]],2,FALSE)</f>
        <v>25</v>
      </c>
      <c r="AL29" s="75">
        <f>Tabulka591215329[[#This Row],[Umístění]]</f>
        <v>3</v>
      </c>
      <c r="AP29" s="1"/>
    </row>
    <row r="30" spans="2:42" ht="24.95" customHeight="1" x14ac:dyDescent="0.4">
      <c r="D30" s="16"/>
      <c r="N30" s="70"/>
      <c r="P30" s="7"/>
      <c r="Q30" s="8"/>
      <c r="R30" s="8"/>
      <c r="Z30" s="31">
        <f>IF(OR(Tabulka381114228[Výsledný čas]="N",Tabulka381114228[Výsledný čas]="D",Tabulka381114228[Výsledný čas]="NEÚČAST"),Uvod!$E$6,_xlfn.RANK.EQ(Tabulka381114228[[#This Row],[ ]],Tabulka381114228[[ ]],1))</f>
        <v>4</v>
      </c>
      <c r="AA30" s="51" t="s">
        <v>16</v>
      </c>
      <c r="AB30" s="44">
        <f>VLOOKUP(Tabulka381114228[[#This Row],[Tým]],Tabulka171013630[[Tým]:[ ]],2,FALSE)</f>
        <v>20.37</v>
      </c>
      <c r="AC30" s="44">
        <f>VLOOKUP(Tabulka381114228[[#This Row],[Tým]],Tabulka171013630[[Tým]:[ ]],3,FALSE)</f>
        <v>20.931000000000001</v>
      </c>
      <c r="AD30" s="25">
        <f>VLOOKUP(Tabulka381114228[[#This Row],[Tým]],Tabulka171013630[[Tým]:[ ]],4,FALSE)</f>
        <v>20.931000000000001</v>
      </c>
      <c r="AE30" s="25">
        <f>VLOOKUP(Tabulka381114228[[#This Row],[Tým]],Tabulka171013630[[Tým]:[ ]],7,FALSE)</f>
        <v>20.931000000000001</v>
      </c>
      <c r="AF30" s="29">
        <f>IF(Tabulka381114228[[#This Row],[Výsledný čas]]="N",5,IF(Tabulka381114228[[#This Row],[Výsledný čas]]="D",0,IF(Tabulka381114228[[#This Row],[Výsledný čas]]="NEÚČAST",0,Tabulka8[[#Totals],[Týmy ženy]]+6-Tabulka381114228[[#This Row],[Umístění]])))</f>
        <v>12</v>
      </c>
      <c r="AH30" s="31">
        <f>_xlfn.RANK.EQ(Tabulka591215329[[#This Row],[Body]],Tabulka591215329[Body],0)</f>
        <v>4</v>
      </c>
      <c r="AI30" s="51" t="s">
        <v>21</v>
      </c>
      <c r="AJ30" s="188">
        <f>VLOOKUP(Tabulka591215329[[#This Row],[Tým]],Tabulka381114228[[Tým]:[Body]],6,FALSE)+Tabulka591215329[[#This Row],[ ]]</f>
        <v>34</v>
      </c>
      <c r="AK30" s="75">
        <f>VLOOKUP(Tabulka591215329[[#This Row],[Tým]],Tabulka5912153[[Tým]:[Body]],2,FALSE)</f>
        <v>24</v>
      </c>
      <c r="AL30" s="75">
        <f>Tabulka591215329[[#This Row],[Umístění]]</f>
        <v>4</v>
      </c>
      <c r="AP30" s="1"/>
    </row>
    <row r="31" spans="2:42" ht="24.95" customHeight="1" x14ac:dyDescent="0.4">
      <c r="D31" s="16"/>
      <c r="P31" s="7"/>
      <c r="Q31" s="8"/>
      <c r="R31" s="8"/>
      <c r="Z31" s="31">
        <f>IF(OR(Tabulka381114228[Výsledný čas]="N",Tabulka381114228[Výsledný čas]="D",Tabulka381114228[Výsledný čas]="NEÚČAST"),Uvod!$E$6,_xlfn.RANK.EQ(Tabulka381114228[[#This Row],[ ]],Tabulka381114228[[ ]],1))</f>
        <v>5</v>
      </c>
      <c r="AA31" s="51" t="s">
        <v>19</v>
      </c>
      <c r="AB31" s="44">
        <f>VLOOKUP(Tabulka381114228[[#This Row],[Tým]],Tabulka171013630[[Tým]:[ ]],2,FALSE)</f>
        <v>21.542000000000002</v>
      </c>
      <c r="AC31" s="44">
        <f>VLOOKUP(Tabulka381114228[[#This Row],[Tým]],Tabulka171013630[[Tým]:[ ]],3,FALSE)</f>
        <v>21.526</v>
      </c>
      <c r="AD31" s="25">
        <f>VLOOKUP(Tabulka381114228[[#This Row],[Tým]],Tabulka171013630[[Tým]:[ ]],4,FALSE)</f>
        <v>21.542000000000002</v>
      </c>
      <c r="AE31" s="25">
        <f>VLOOKUP(Tabulka381114228[[#This Row],[Tým]],Tabulka171013630[[Tým]:[ ]],7,FALSE)</f>
        <v>21.542000000000002</v>
      </c>
      <c r="AF31" s="29">
        <f>IF(Tabulka381114228[[#This Row],[Výsledný čas]]="N",5,IF(Tabulka381114228[[#This Row],[Výsledný čas]]="D",0,IF(Tabulka381114228[[#This Row],[Výsledný čas]]="NEÚČAST",0,Tabulka8[[#Totals],[Týmy ženy]]+6-Tabulka381114228[[#This Row],[Umístění]])))</f>
        <v>11</v>
      </c>
      <c r="AH31" s="31">
        <f>_xlfn.RANK.EQ(Tabulka591215329[[#This Row],[Body]],Tabulka591215329[Body],0)</f>
        <v>5</v>
      </c>
      <c r="AI31" s="51" t="s">
        <v>19</v>
      </c>
      <c r="AJ31" s="188">
        <f>VLOOKUP(Tabulka591215329[[#This Row],[Tým]],Tabulka381114228[[Tým]:[Body]],6,FALSE)+Tabulka591215329[[#This Row],[ ]]</f>
        <v>30</v>
      </c>
      <c r="AK31" s="75">
        <f>VLOOKUP(Tabulka591215329[[#This Row],[Tým]],Tabulka5912153[[Tým]:[Body]],2,FALSE)</f>
        <v>19</v>
      </c>
      <c r="AL31" s="75">
        <f>Tabulka591215329[[#This Row],[Umístění]]</f>
        <v>5</v>
      </c>
      <c r="AP31" s="1"/>
    </row>
    <row r="32" spans="2:42" ht="24.95" customHeight="1" x14ac:dyDescent="0.4">
      <c r="D32" s="16"/>
      <c r="P32" s="7"/>
      <c r="Q32" s="8"/>
      <c r="R32" s="8"/>
      <c r="Z32" s="31">
        <f>IF(OR(Tabulka381114228[Výsledný čas]="N",Tabulka381114228[Výsledný čas]="D",Tabulka381114228[Výsledný čas]="NEÚČAST"),Uvod!$E$6,_xlfn.RANK.EQ(Tabulka381114228[[#This Row],[ ]],Tabulka381114228[[ ]],1))</f>
        <v>6</v>
      </c>
      <c r="AA32" s="51" t="s">
        <v>21</v>
      </c>
      <c r="AB32" s="44">
        <f>VLOOKUP(Tabulka381114228[[#This Row],[Tým]],Tabulka171013630[[Tým]:[ ]],2,FALSE)</f>
        <v>24.007999999999999</v>
      </c>
      <c r="AC32" s="44">
        <f>VLOOKUP(Tabulka381114228[[#This Row],[Tým]],Tabulka171013630[[Tým]:[ ]],3,FALSE)</f>
        <v>22.274999999999999</v>
      </c>
      <c r="AD32" s="25">
        <f>VLOOKUP(Tabulka381114228[[#This Row],[Tým]],Tabulka171013630[[Tým]:[ ]],4,FALSE)</f>
        <v>24.007999999999999</v>
      </c>
      <c r="AE32" s="25">
        <f>VLOOKUP(Tabulka381114228[[#This Row],[Tým]],Tabulka171013630[[Tým]:[ ]],7,FALSE)</f>
        <v>24.007999999999999</v>
      </c>
      <c r="AF32" s="29">
        <f>IF(Tabulka381114228[[#This Row],[Výsledný čas]]="N",5,IF(Tabulka381114228[[#This Row],[Výsledný čas]]="D",0,IF(Tabulka381114228[[#This Row],[Výsledný čas]]="NEÚČAST",0,Tabulka8[[#Totals],[Týmy ženy]]+6-Tabulka381114228[[#This Row],[Umístění]])))</f>
        <v>10</v>
      </c>
      <c r="AH32" s="31">
        <f>_xlfn.RANK.EQ(Tabulka591215329[[#This Row],[Body]],Tabulka591215329[Body],0)</f>
        <v>6</v>
      </c>
      <c r="AI32" s="51" t="s">
        <v>15</v>
      </c>
      <c r="AJ32" s="188">
        <f>VLOOKUP(Tabulka591215329[[#This Row],[Tým]],Tabulka381114228[[Tým]:[Body]],6,FALSE)+Tabulka591215329[[#This Row],[ ]]</f>
        <v>28</v>
      </c>
      <c r="AK32" s="75">
        <f>VLOOKUP(Tabulka591215329[[#This Row],[Tým]],Tabulka5912153[[Tým]:[Body]],2,FALSE)</f>
        <v>19</v>
      </c>
      <c r="AL32" s="75">
        <f>Tabulka591215329[[#This Row],[Umístění]]</f>
        <v>6</v>
      </c>
      <c r="AP32" s="1"/>
    </row>
    <row r="33" spans="4:42" ht="24.95" customHeight="1" x14ac:dyDescent="0.4">
      <c r="D33" s="16"/>
      <c r="P33" s="7"/>
      <c r="Q33" s="8"/>
      <c r="R33" s="8"/>
      <c r="Z33" s="31">
        <f>IF(OR(Tabulka381114228[Výsledný čas]="N",Tabulka381114228[Výsledný čas]="D",Tabulka381114228[Výsledný čas]="NEÚČAST"),Uvod!$E$6,_xlfn.RANK.EQ(Tabulka381114228[[#This Row],[ ]],Tabulka381114228[[ ]],1))</f>
        <v>7</v>
      </c>
      <c r="AA33" s="51" t="s">
        <v>15</v>
      </c>
      <c r="AB33" s="44">
        <f>VLOOKUP(Tabulka381114228[[#This Row],[Tým]],Tabulka171013630[[Tým]:[ ]],2,FALSE)</f>
        <v>25.606000000000002</v>
      </c>
      <c r="AC33" s="44">
        <f>VLOOKUP(Tabulka381114228[[#This Row],[Tým]],Tabulka171013630[[Tým]:[ ]],3,FALSE)</f>
        <v>21.579000000000001</v>
      </c>
      <c r="AD33" s="25">
        <f>VLOOKUP(Tabulka381114228[[#This Row],[Tým]],Tabulka171013630[[Tým]:[ ]],4,FALSE)</f>
        <v>25.606000000000002</v>
      </c>
      <c r="AE33" s="25">
        <f>VLOOKUP(Tabulka381114228[[#This Row],[Tým]],Tabulka171013630[[Tým]:[ ]],7,FALSE)</f>
        <v>25.606000000000002</v>
      </c>
      <c r="AF33" s="29">
        <f>IF(Tabulka381114228[[#This Row],[Výsledný čas]]="N",5,IF(Tabulka381114228[[#This Row],[Výsledný čas]]="D",0,IF(Tabulka381114228[[#This Row],[Výsledný čas]]="NEÚČAST",0,Tabulka8[[#Totals],[Týmy ženy]]+6-Tabulka381114228[[#This Row],[Umístění]])))</f>
        <v>9</v>
      </c>
      <c r="AH33" s="31">
        <f>_xlfn.RANK.EQ(Tabulka591215329[[#This Row],[Body]],Tabulka591215329[Body],0)</f>
        <v>7</v>
      </c>
      <c r="AI33" s="51" t="s">
        <v>36</v>
      </c>
      <c r="AJ33" s="188">
        <f>VLOOKUP(Tabulka591215329[[#This Row],[Tým]],Tabulka381114228[[Tým]:[Body]],6,FALSE)+Tabulka591215329[[#This Row],[ ]]</f>
        <v>26</v>
      </c>
      <c r="AK33" s="75">
        <f>VLOOKUP(Tabulka591215329[[#This Row],[Tým]],Tabulka5912153[[Tým]:[Body]],2,FALSE)</f>
        <v>18</v>
      </c>
      <c r="AL33" s="75">
        <f>Tabulka591215329[[#This Row],[Umístění]]</f>
        <v>7</v>
      </c>
      <c r="AP33" s="1"/>
    </row>
    <row r="34" spans="4:42" ht="24.95" customHeight="1" x14ac:dyDescent="0.4">
      <c r="D34" s="16"/>
      <c r="N34" s="68"/>
      <c r="P34" s="7"/>
      <c r="Q34" s="8"/>
      <c r="R34" s="8"/>
      <c r="Z34" s="31">
        <f>IF(OR(Tabulka381114228[Výsledný čas]="N",Tabulka381114228[Výsledný čas]="D",Tabulka381114228[Výsledný čas]="NEÚČAST"),Uvod!$E$6,_xlfn.RANK.EQ(Tabulka381114228[[#This Row],[ ]],Tabulka381114228[[ ]],1))</f>
        <v>8</v>
      </c>
      <c r="AA34" s="51" t="s">
        <v>36</v>
      </c>
      <c r="AB34" s="44">
        <f>VLOOKUP(Tabulka381114228[[#This Row],[Tým]],Tabulka171013630[[Tým]:[ ]],2,FALSE)</f>
        <v>38.817999999999998</v>
      </c>
      <c r="AC34" s="44">
        <f>VLOOKUP(Tabulka381114228[[#This Row],[Tým]],Tabulka171013630[[Tým]:[ ]],3,FALSE)</f>
        <v>25.611000000000001</v>
      </c>
      <c r="AD34" s="25">
        <f>VLOOKUP(Tabulka381114228[[#This Row],[Tým]],Tabulka171013630[[Tým]:[ ]],4,FALSE)</f>
        <v>38.817999999999998</v>
      </c>
      <c r="AE34" s="25">
        <f>VLOOKUP(Tabulka381114228[[#This Row],[Tým]],Tabulka171013630[[Tým]:[ ]],7,FALSE)</f>
        <v>38.817999999999998</v>
      </c>
      <c r="AF34" s="29">
        <f>IF(Tabulka381114228[[#This Row],[Výsledný čas]]="N",5,IF(Tabulka381114228[[#This Row],[Výsledný čas]]="D",0,IF(Tabulka381114228[[#This Row],[Výsledný čas]]="NEÚČAST",0,Tabulka8[[#Totals],[Týmy ženy]]+6-Tabulka381114228[[#This Row],[Umístění]])))</f>
        <v>8</v>
      </c>
      <c r="AH34" s="31">
        <f>_xlfn.RANK.EQ(Tabulka591215329[[#This Row],[Body]],Tabulka591215329[Body],0)</f>
        <v>8</v>
      </c>
      <c r="AI34" s="51" t="s">
        <v>23</v>
      </c>
      <c r="AJ34" s="188">
        <f>VLOOKUP(Tabulka591215329[[#This Row],[Tým]],Tabulka381114228[[Tým]:[Body]],6,FALSE)+Tabulka591215329[[#This Row],[ ]]</f>
        <v>24</v>
      </c>
      <c r="AK34" s="75">
        <f>VLOOKUP(Tabulka591215329[[#This Row],[Tým]],Tabulka5912153[[Tým]:[Body]],2,FALSE)</f>
        <v>19</v>
      </c>
      <c r="AL34" s="75">
        <f>Tabulka591215329[[#This Row],[Umístění]]</f>
        <v>8</v>
      </c>
      <c r="AP34" s="1"/>
    </row>
    <row r="35" spans="4:42" ht="24.95" customHeight="1" x14ac:dyDescent="0.4">
      <c r="D35" s="16"/>
      <c r="N35" s="68"/>
      <c r="P35" s="7"/>
      <c r="Q35" s="8"/>
      <c r="R35" s="8"/>
      <c r="Z35" s="31">
        <f>IF(OR(Tabulka381114228[Výsledný čas]="N",Tabulka381114228[Výsledný čas]="D",Tabulka381114228[Výsledný čas]="NEÚČAST"),Uvod!$E$6,_xlfn.RANK.EQ(Tabulka381114228[[#This Row],[ ]],Tabulka381114228[[ ]],1))</f>
        <v>10</v>
      </c>
      <c r="AA35" s="51" t="s">
        <v>23</v>
      </c>
      <c r="AB35" s="44">
        <f>VLOOKUP(Tabulka381114228[[#This Row],[Tým]],Tabulka171013630[[Tým]:[ ]],2,FALSE)</f>
        <v>20.113</v>
      </c>
      <c r="AC35" s="44">
        <f>VLOOKUP(Tabulka381114228[[#This Row],[Tým]],Tabulka171013630[[Tým]:[ ]],3,FALSE)</f>
        <v>25.782</v>
      </c>
      <c r="AD35" s="25" t="str">
        <f>VLOOKUP(Tabulka381114228[[#This Row],[Tým]],Tabulka171013630[[Tým]:[ ]],4,FALSE)</f>
        <v>N</v>
      </c>
      <c r="AE35" s="25">
        <f>VLOOKUP(Tabulka381114228[[#This Row],[Tým]],Tabulka171013630[[Tým]:[ ]],7,FALSE)</f>
        <v>998</v>
      </c>
      <c r="AF35" s="29">
        <f>IF(Tabulka381114228[[#This Row],[Výsledný čas]]="N",5,IF(Tabulka381114228[[#This Row],[Výsledný čas]]="D",0,IF(Tabulka381114228[[#This Row],[Výsledný čas]]="NEÚČAST",0,Tabulka8[[#Totals],[Týmy ženy]]+6-Tabulka381114228[[#This Row],[Umístění]])))</f>
        <v>5</v>
      </c>
      <c r="AH35" s="31">
        <f>_xlfn.RANK.EQ(Tabulka591215329[[#This Row],[Body]],Tabulka591215329[Body],0)</f>
        <v>9</v>
      </c>
      <c r="AI35" s="51" t="s">
        <v>16</v>
      </c>
      <c r="AJ35" s="188">
        <f>VLOOKUP(Tabulka591215329[[#This Row],[Tým]],Tabulka381114228[[Tým]:[Body]],6,FALSE)+Tabulka591215329[[#This Row],[ ]]</f>
        <v>22</v>
      </c>
      <c r="AK35" s="75">
        <f>VLOOKUP(Tabulka591215329[[#This Row],[Tým]],Tabulka5912153[[Tým]:[Body]],2,FALSE)</f>
        <v>10</v>
      </c>
      <c r="AL35" s="75">
        <f>Tabulka591215329[[#This Row],[Umístění]]</f>
        <v>9</v>
      </c>
    </row>
    <row r="36" spans="4:42" ht="24.95" customHeight="1" thickBot="1" x14ac:dyDescent="0.45">
      <c r="D36" s="16"/>
      <c r="P36" s="7"/>
      <c r="Q36" s="8"/>
      <c r="R36" s="8"/>
      <c r="Z36" s="33">
        <f>IF(OR(Tabulka381114228[Výsledný čas]="N",Tabulka381114228[Výsledný čas]="D",Tabulka381114228[Výsledný čas]="NEÚČAST"),Uvod!$E$6,_xlfn.RANK.EQ(Tabulka381114228[[#This Row],[ ]],Tabulka381114228[[ ]],1))</f>
        <v>10</v>
      </c>
      <c r="AA36" s="62" t="s">
        <v>24</v>
      </c>
      <c r="AB36" s="45" t="str">
        <f>VLOOKUP(Tabulka381114228[[#This Row],[Tým]],Tabulka171013630[[Tým]:[ ]],2,FALSE)</f>
        <v>N</v>
      </c>
      <c r="AC36" s="45" t="str">
        <f>VLOOKUP(Tabulka381114228[[#This Row],[Tým]],Tabulka171013630[[Tým]:[ ]],3,FALSE)</f>
        <v>N</v>
      </c>
      <c r="AD36" s="34" t="str">
        <f>VLOOKUP(Tabulka381114228[[#This Row],[Tým]],Tabulka171013630[[Tým]:[ ]],4,FALSE)</f>
        <v>N</v>
      </c>
      <c r="AE36" s="34">
        <f>VLOOKUP(Tabulka381114228[[#This Row],[Tým]],Tabulka171013630[[Tým]:[ ]],7,FALSE)</f>
        <v>998</v>
      </c>
      <c r="AF36" s="36">
        <f>IF(Tabulka381114228[[#This Row],[Výsledný čas]]="N",5,IF(Tabulka381114228[[#This Row],[Výsledný čas]]="D",0,IF(Tabulka381114228[[#This Row],[Výsledný čas]]="NEÚČAST",0,Tabulka8[[#Totals],[Týmy ženy]]+6-Tabulka381114228[[#This Row],[Umístění]])))</f>
        <v>5</v>
      </c>
      <c r="AH36" s="33">
        <f>_xlfn.RANK.EQ(Tabulka591215329[[#This Row],[Body]],Tabulka591215329[Body],0)</f>
        <v>10</v>
      </c>
      <c r="AI36" s="62" t="s">
        <v>24</v>
      </c>
      <c r="AJ36" s="189">
        <f>VLOOKUP(Tabulka591215329[[#This Row],[Tým]],Tabulka381114228[[Tým]:[Body]],6,FALSE)+Tabulka591215329[[#This Row],[ ]]</f>
        <v>17</v>
      </c>
      <c r="AK36" s="76">
        <f>VLOOKUP(Tabulka591215329[[#This Row],[Tým]],Tabulka5912153[[Tým]:[Body]],2,FALSE)</f>
        <v>12</v>
      </c>
      <c r="AL36" s="76">
        <f>Tabulka591215329[[#This Row],[Umístění]]</f>
        <v>10</v>
      </c>
    </row>
    <row r="37" spans="4:42" ht="24.95" customHeight="1" x14ac:dyDescent="0.4">
      <c r="D37" s="16"/>
      <c r="P37" s="7"/>
      <c r="Q37" s="8"/>
      <c r="R37" s="8"/>
      <c r="AB37" s="3"/>
      <c r="AC37" s="3"/>
      <c r="AK37" s="4"/>
    </row>
    <row r="38" spans="4:42" ht="24.95" customHeight="1" x14ac:dyDescent="0.4">
      <c r="D38" s="16"/>
      <c r="P38" s="7"/>
      <c r="Q38" s="8"/>
      <c r="R38" s="8"/>
      <c r="AB38" s="3"/>
      <c r="AC38" s="3"/>
      <c r="AK38" s="4"/>
    </row>
    <row r="39" spans="4:42" ht="24.95" customHeight="1" x14ac:dyDescent="0.4">
      <c r="D39" s="16"/>
      <c r="N39" s="70"/>
      <c r="P39" s="7"/>
      <c r="Q39" s="8"/>
      <c r="R39" s="8"/>
      <c r="AB39" s="3"/>
      <c r="AC39" s="3"/>
      <c r="AK39" s="4"/>
    </row>
    <row r="40" spans="4:42" ht="24.95" customHeight="1" x14ac:dyDescent="0.4">
      <c r="D40" s="16"/>
      <c r="N40" s="70"/>
      <c r="P40" s="7"/>
      <c r="Q40" s="8"/>
      <c r="R40" s="8"/>
      <c r="AB40" s="3"/>
      <c r="AC40" s="3"/>
      <c r="AK40" s="4"/>
    </row>
    <row r="41" spans="4:42" ht="24.95" customHeight="1" x14ac:dyDescent="0.4">
      <c r="D41" s="16"/>
      <c r="P41" s="7"/>
      <c r="Q41" s="8"/>
      <c r="R41" s="8"/>
      <c r="AB41" s="3"/>
      <c r="AC41" s="3"/>
      <c r="AK41" s="4"/>
    </row>
    <row r="42" spans="4:42" ht="24.95" customHeight="1" x14ac:dyDescent="0.4">
      <c r="D42" s="16"/>
      <c r="P42" s="7"/>
      <c r="Q42" s="8"/>
      <c r="R42" s="8"/>
      <c r="AB42" s="3"/>
      <c r="AC42" s="3"/>
      <c r="AK42" s="4"/>
    </row>
    <row r="43" spans="4:42" ht="24.95" customHeight="1" thickBot="1" x14ac:dyDescent="0.45">
      <c r="D43" s="16"/>
      <c r="P43" s="7"/>
      <c r="Q43" s="8"/>
      <c r="R43" s="8"/>
      <c r="AB43" s="3"/>
      <c r="AC43" s="3"/>
      <c r="AK43" s="4"/>
    </row>
    <row r="44" spans="4:42" ht="24.95" customHeight="1" x14ac:dyDescent="0.4">
      <c r="D44" s="16"/>
      <c r="N44" s="68"/>
      <c r="P44" s="7"/>
      <c r="Q44" s="8"/>
      <c r="R44" s="8"/>
      <c r="AI44" s="42"/>
    </row>
    <row r="45" spans="4:42" ht="24.95" customHeight="1" thickBot="1" x14ac:dyDescent="0.45">
      <c r="D45" s="16"/>
      <c r="N45" s="68"/>
      <c r="P45" s="7"/>
      <c r="Q45" s="8"/>
      <c r="R45" s="8"/>
      <c r="AI45" s="43"/>
    </row>
    <row r="46" spans="4:42" ht="24.95" customHeight="1" x14ac:dyDescent="0.4">
      <c r="D46" s="16"/>
      <c r="P46" s="7"/>
      <c r="Q46" s="8"/>
      <c r="R46" s="8"/>
    </row>
    <row r="47" spans="4:42" ht="24.95" customHeight="1" x14ac:dyDescent="0.4">
      <c r="D47" s="16"/>
      <c r="P47" s="7"/>
      <c r="Q47" s="8"/>
      <c r="R47" s="8"/>
    </row>
    <row r="48" spans="4:42" ht="24.95" customHeight="1" x14ac:dyDescent="0.4">
      <c r="D48" s="16"/>
      <c r="P48" s="7"/>
      <c r="Q48" s="8"/>
      <c r="R48" s="8"/>
    </row>
    <row r="49" spans="4:18" ht="24.95" customHeight="1" x14ac:dyDescent="0.4">
      <c r="D49" s="16"/>
      <c r="N49" s="68"/>
      <c r="P49" s="7"/>
      <c r="Q49" s="8"/>
      <c r="R49" s="8"/>
    </row>
    <row r="50" spans="4:18" ht="24.95" customHeight="1" x14ac:dyDescent="0.4">
      <c r="D50" s="16"/>
      <c r="N50" s="68"/>
      <c r="P50" s="7"/>
      <c r="Q50" s="8"/>
      <c r="R50" s="8"/>
    </row>
    <row r="51" spans="4:18" ht="24.95" customHeight="1" x14ac:dyDescent="0.4">
      <c r="D51" s="16"/>
      <c r="P51" s="7"/>
      <c r="Q51" s="8"/>
      <c r="R51" s="8"/>
    </row>
    <row r="52" spans="4:18" ht="24.95" customHeight="1" x14ac:dyDescent="0.4">
      <c r="D52" s="16"/>
      <c r="P52" s="7"/>
      <c r="Q52" s="8"/>
      <c r="R52" s="8"/>
    </row>
    <row r="53" spans="4:18" ht="24.95" customHeight="1" x14ac:dyDescent="0.4">
      <c r="D53" s="16"/>
      <c r="P53" s="7"/>
      <c r="Q53" s="8"/>
      <c r="R53" s="8"/>
    </row>
    <row r="54" spans="4:18" x14ac:dyDescent="0.4">
      <c r="D54" s="16"/>
      <c r="P54" s="16"/>
    </row>
    <row r="55" spans="4:18" x14ac:dyDescent="0.4">
      <c r="D55" s="16"/>
      <c r="P55" s="16"/>
    </row>
    <row r="56" spans="4:18" x14ac:dyDescent="0.4">
      <c r="P56" s="16"/>
    </row>
    <row r="57" spans="4:18" x14ac:dyDescent="0.4">
      <c r="P57" s="16"/>
    </row>
    <row r="58" spans="4:18" x14ac:dyDescent="0.4">
      <c r="P58" s="16"/>
    </row>
  </sheetData>
  <mergeCells count="6">
    <mergeCell ref="B2:J2"/>
    <mergeCell ref="N2:V2"/>
    <mergeCell ref="Z2:AF2"/>
    <mergeCell ref="AH2:AK2"/>
    <mergeCell ref="Z25:AF25"/>
    <mergeCell ref="AH25:AK25"/>
  </mergeCells>
  <conditionalFormatting sqref="D13">
    <cfRule type="duplicateValues" dxfId="19" priority="1"/>
  </conditionalFormatting>
  <conditionalFormatting sqref="D19">
    <cfRule type="duplicateValues" dxfId="18" priority="2"/>
  </conditionalFormatting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D2FD2-377C-43A5-AFC3-0D8205EB7212}">
  <dimension ref="A1:AP54"/>
  <sheetViews>
    <sheetView showGridLines="0" zoomScale="55" zoomScaleNormal="55" workbookViewId="0">
      <selection activeCell="AQ40" sqref="AQ40"/>
    </sheetView>
  </sheetViews>
  <sheetFormatPr defaultRowHeight="26.25" x14ac:dyDescent="0.4"/>
  <cols>
    <col min="1" max="1" width="5.7109375" style="1" customWidth="1"/>
    <col min="2" max="3" width="16.7109375" style="1" customWidth="1"/>
    <col min="4" max="4" width="35.7109375" style="1" customWidth="1"/>
    <col min="5" max="6" width="16.7109375" style="1" customWidth="1"/>
    <col min="7" max="7" width="20.7109375" style="1" customWidth="1"/>
    <col min="8" max="9" width="20.7109375" style="1" hidden="1" customWidth="1"/>
    <col min="10" max="12" width="11.5703125" style="1" hidden="1" customWidth="1"/>
    <col min="13" max="13" width="10.7109375" style="1" customWidth="1"/>
    <col min="14" max="15" width="16.7109375" style="1" customWidth="1"/>
    <col min="16" max="16" width="35.7109375" style="1" customWidth="1"/>
    <col min="17" max="18" width="16.7109375" style="1" customWidth="1"/>
    <col min="19" max="19" width="20.7109375" style="1" customWidth="1"/>
    <col min="20" max="21" width="20.7109375" style="1" hidden="1" customWidth="1"/>
    <col min="22" max="24" width="13.7109375" style="1" hidden="1" customWidth="1"/>
    <col min="25" max="25" width="9.140625" style="1"/>
    <col min="26" max="26" width="16.7109375" style="1" customWidth="1"/>
    <col min="27" max="27" width="35.7109375" style="1" customWidth="1"/>
    <col min="28" max="29" width="16.7109375" style="1" customWidth="1"/>
    <col min="30" max="30" width="20.7109375" style="1" customWidth="1"/>
    <col min="31" max="31" width="13.7109375" style="1" hidden="1" customWidth="1"/>
    <col min="32" max="32" width="12.7109375" style="1" customWidth="1"/>
    <col min="33" max="33" width="9.140625" style="1"/>
    <col min="34" max="34" width="16.7109375" style="1" customWidth="1"/>
    <col min="35" max="35" width="35.7109375" style="1" customWidth="1"/>
    <col min="36" max="36" width="12.7109375" style="1" customWidth="1"/>
    <col min="37" max="38" width="34.42578125" style="1" hidden="1" customWidth="1"/>
    <col min="39" max="41" width="9.140625" style="1"/>
    <col min="42" max="16384" width="9.140625" style="2"/>
  </cols>
  <sheetData>
    <row r="1" spans="1:42" ht="24.95" customHeight="1" thickBot="1" x14ac:dyDescent="0.45"/>
    <row r="2" spans="1:42" ht="24.95" customHeight="1" x14ac:dyDescent="0.4">
      <c r="A2" s="9"/>
      <c r="B2" s="317" t="str">
        <f>"Výsledky - Soutěže "&amp;Uvod!A6&amp;" kola NHHL "&amp;TEXT(Uvod!B6,"d.m. rrrr")&amp;" "&amp;Uvod!C6&amp;" - MUŽI "</f>
        <v xml:space="preserve">Výsledky - Soutěže 4. kola NHHL 16.6. 2023 Markvartovice - MUŽI </v>
      </c>
      <c r="C2" s="318"/>
      <c r="D2" s="318"/>
      <c r="E2" s="318"/>
      <c r="F2" s="318"/>
      <c r="G2" s="318"/>
      <c r="H2" s="318"/>
      <c r="I2" s="318"/>
      <c r="J2" s="319"/>
      <c r="K2" s="177"/>
      <c r="L2" s="177"/>
      <c r="M2" s="15"/>
      <c r="N2" s="308" t="str">
        <f>"Výsledky - Soutěže "&amp;Uvod!A6&amp;" kola NHHL "&amp;TEXT(Uvod!B6,"d.m. rrrr")&amp;" "&amp;Uvod!C6&amp;" - ŽENY "</f>
        <v xml:space="preserve">Výsledky - Soutěže 4. kola NHHL 16.6. 2023 Markvartovice - ŽENY </v>
      </c>
      <c r="O2" s="309"/>
      <c r="P2" s="309"/>
      <c r="Q2" s="309"/>
      <c r="R2" s="309"/>
      <c r="S2" s="309"/>
      <c r="T2" s="320"/>
      <c r="U2" s="320"/>
      <c r="V2" s="310"/>
      <c r="W2" s="180"/>
      <c r="X2" s="180"/>
      <c r="Y2" s="245"/>
      <c r="Z2" s="324" t="str">
        <f>B2</f>
        <v xml:space="preserve">Výsledky - Soutěže 4. kola NHHL 16.6. 2023 Markvartovice - MUŽI </v>
      </c>
      <c r="AA2" s="325"/>
      <c r="AB2" s="325"/>
      <c r="AC2" s="325"/>
      <c r="AD2" s="325"/>
      <c r="AE2" s="325"/>
      <c r="AF2" s="326"/>
      <c r="AH2" s="324" t="s">
        <v>28</v>
      </c>
      <c r="AI2" s="325"/>
      <c r="AJ2" s="325"/>
      <c r="AK2" s="326"/>
      <c r="AM2" s="15"/>
    </row>
    <row r="3" spans="1:42" ht="24.95" customHeight="1" thickBot="1" x14ac:dyDescent="0.45">
      <c r="B3" s="21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3" t="s">
        <v>5</v>
      </c>
      <c r="H3" s="22" t="s">
        <v>73</v>
      </c>
      <c r="I3" s="22" t="s">
        <v>74</v>
      </c>
      <c r="J3" s="1" t="s">
        <v>27</v>
      </c>
      <c r="N3" s="28" t="s">
        <v>0</v>
      </c>
      <c r="O3" s="24" t="s">
        <v>1</v>
      </c>
      <c r="P3" s="24" t="s">
        <v>2</v>
      </c>
      <c r="Q3" s="24" t="s">
        <v>3</v>
      </c>
      <c r="R3" s="24" t="s">
        <v>4</v>
      </c>
      <c r="S3" s="72" t="s">
        <v>5</v>
      </c>
      <c r="T3" s="242" t="s">
        <v>73</v>
      </c>
      <c r="U3" s="233" t="s">
        <v>74</v>
      </c>
      <c r="V3" s="29" t="s">
        <v>27</v>
      </c>
      <c r="Z3" s="58" t="s">
        <v>1</v>
      </c>
      <c r="AA3" s="59" t="s">
        <v>2</v>
      </c>
      <c r="AB3" s="59" t="s">
        <v>3</v>
      </c>
      <c r="AC3" s="59" t="s">
        <v>4</v>
      </c>
      <c r="AD3" s="59" t="s">
        <v>5</v>
      </c>
      <c r="AE3" s="59" t="s">
        <v>27</v>
      </c>
      <c r="AF3" s="60" t="s">
        <v>7</v>
      </c>
      <c r="AH3" s="58" t="s">
        <v>1</v>
      </c>
      <c r="AI3" s="59" t="s">
        <v>2</v>
      </c>
      <c r="AJ3" s="59" t="s">
        <v>7</v>
      </c>
      <c r="AK3" s="29" t="s">
        <v>27</v>
      </c>
      <c r="AL3" s="112" t="s">
        <v>73</v>
      </c>
      <c r="AM3" s="15"/>
      <c r="AP3" s="1"/>
    </row>
    <row r="4" spans="1:42" ht="24.95" customHeight="1" x14ac:dyDescent="0.4">
      <c r="B4" s="6">
        <v>32</v>
      </c>
      <c r="C4" s="1">
        <f>IF(Tabulka1710132531[[#This Row],[ ]]="","",IF(Tabulka1710132531[[#This Row],[ ]]="NEÚČAST","",IF(OR(Tabulka1710132531[Výsledný čas]="N",Tabulka1710132531[Výsledný čas]="D"),$L$4-$L$5,_xlfn.RANK.EQ(Tabulka1710132531[[#This Row],[ ]],Tabulka1710132531[[ ]],1))))</f>
        <v>1</v>
      </c>
      <c r="D4" s="7" t="s">
        <v>112</v>
      </c>
      <c r="E4" s="8">
        <v>14.92</v>
      </c>
      <c r="F4" s="238">
        <v>14.2</v>
      </c>
      <c r="G4" s="237">
        <f>IF(OR(Tabulka1710132531[[#This Row],[LP]]="N",Tabulka1710132531[[#This Row],[PP]]="N"),"N",IF(OR(Tabulka1710132531[[#This Row],[LP]]="D",Tabulka1710132531[[#This Row],[PP]]="D"),"D",IF(OR(Tabulka1710132531[[#This Row],[LP]]="NEÚČAST",Tabulka1710132531[[#This Row],[PP]]="NEÚČAST"),"NEÚČAST",IF(OR(Tabulka1710132531[[#This Row],[LP]]="",Tabulka1710132531[[#This Row],[PP]]=""),"",MAX(Tabulka1710132531[[#This Row],[LP]:[PP]])))))</f>
        <v>14.92</v>
      </c>
      <c r="H4" s="1">
        <f>COUNTIF(Tabulka1710132531[[#This Row],[Tým]],"*")</f>
        <v>1</v>
      </c>
      <c r="I4" s="1">
        <f>COUNTIF(Tabulka1710132531[[#This Row],[Výsledný čas]],"NEÚČAST")</f>
        <v>0</v>
      </c>
      <c r="J4" s="1">
        <f>IF(Tabulka1710132531[[#This Row],[Výsledný čas]]="N",998,IF(Tabulka1710132531[[#This Row],[Výsledný čas]]="D",998,IF(Tabulka1710132531[[#This Row],[Výsledný čas]]="","",Tabulka1710132531[[#This Row],[Výsledný čas]])))</f>
        <v>14.92</v>
      </c>
      <c r="L4" s="1">
        <f>SUM(Tabulka1710132531[Sloupec1])</f>
        <v>29</v>
      </c>
      <c r="N4" s="30">
        <v>5</v>
      </c>
      <c r="O4" s="25">
        <f>IF(Tabulka17101363036[[#This Row],[ ]]="","",IF(Tabulka17101363036[[#This Row],[ ]]="NEÚČAST","",IF(OR(Tabulka17101363036[Výsledný čas]="N",Tabulka17101363036[Výsledný čas]="D"),$X$4-$X$5,_xlfn.RANK.EQ(Tabulka17101363036[[#This Row],[ ]],Tabulka17101363036[[ ]],1))))</f>
        <v>1</v>
      </c>
      <c r="P4" s="26" t="s">
        <v>22</v>
      </c>
      <c r="Q4" s="5">
        <v>16.23</v>
      </c>
      <c r="R4" s="5">
        <v>16.07</v>
      </c>
      <c r="S4" s="234">
        <f>IF(OR(Tabulka17101363036[[#This Row],[LP]]="N",Tabulka17101363036[[#This Row],[PP]]="N"),"N",IF(OR(Tabulka17101363036[[#This Row],[LP]]="D",Tabulka17101363036[[#This Row],[PP]]="D"),"D",IF(OR(Tabulka17101363036[[#This Row],[LP]]="NEÚČAST",Tabulka17101363036[[#This Row],[PP]]="NEÚČAST"),"NEÚČAST",IF(OR(Tabulka17101363036[[#This Row],[LP]]="",Tabulka17101363036[[#This Row],[PP]]=""),"",MAX(Tabulka17101363036[[#This Row],[LP]:[PP]])))))</f>
        <v>16.23</v>
      </c>
      <c r="T4" s="240">
        <f>COUNTIF(Tabulka17101363036[[#This Row],[Tým]],"*")</f>
        <v>1</v>
      </c>
      <c r="U4" s="46">
        <f>COUNTIF(Tabulka17101363036[[#This Row],[Výsledný čas]],"NEÚČAST")</f>
        <v>0</v>
      </c>
      <c r="V4" s="29">
        <f>IF(Tabulka17101363036[[#This Row],[Výsledný čas]]="N",998,IF(Tabulka17101363036[[#This Row],[Výsledný čas]]="D",998,IF(Tabulka17101363036[[#This Row],[Výsledný čas]]="","",Tabulka17101363036[[#This Row],[Výsledný čas]])))</f>
        <v>16.23</v>
      </c>
      <c r="X4" s="1">
        <f>SUM(Tabulka17101363036[Sloupec1])</f>
        <v>16</v>
      </c>
      <c r="Z4" s="77">
        <f>IF(OR(Tabulka3811142632[Výsledný čas]="N",Tabulka3811142632[Výsledný čas]="D",Tabulka3811142632[Výsledný čas]="NEÚČAST"),Uvod!$E$4,_xlfn.RANK.EQ(Tabulka3811142632[[#This Row],[ ]],Tabulka3811142632[[ ]],1))</f>
        <v>1</v>
      </c>
      <c r="AA4" s="78" t="s">
        <v>19</v>
      </c>
      <c r="AB4" s="79">
        <f>VLOOKUP(Tabulka3811142632[[#This Row],[Tým]],Tabulka1710132531[[Tým]:[ ]],2,FALSE)</f>
        <v>15.09</v>
      </c>
      <c r="AC4" s="79">
        <f>VLOOKUP(Tabulka3811142632[[#This Row],[Tým]],Tabulka1710132531[[Tým]:[ ]],3,FALSE)</f>
        <v>14.79</v>
      </c>
      <c r="AD4" s="80">
        <f>VLOOKUP(Tabulka3811142632[[#This Row],[Tým]],Tabulka1710132531[[Tým]:[ ]],4,FALSE)</f>
        <v>15.09</v>
      </c>
      <c r="AE4" s="80">
        <f>VLOOKUP(Tabulka3811142632[[#This Row],[Tým]],Tabulka1710132531[[Tým]:[ ]],7,FALSE)</f>
        <v>15.09</v>
      </c>
      <c r="AF4" s="81">
        <f>IF(Tabulka3811142632[[#This Row],[Výsledný čas]]="N",5,IF(Tabulka3811142632[[#This Row],[Výsledný čas]]="D",0,IF(Tabulka3811142632[[#This Row],[Výsledný čas]]="NEÚČAST",0,Tabulka4[[#Totals],[Týmy muži]]+6-Tabulka3811142632[[#This Row],[Umístění]])))</f>
        <v>24</v>
      </c>
      <c r="AH4" s="77">
        <f>_xlfn.RANK.EQ(Tabulka5912152733[[#This Row],[Body]],Tabulka5912152733[Body],0)</f>
        <v>1</v>
      </c>
      <c r="AI4" s="78" t="s">
        <v>19</v>
      </c>
      <c r="AJ4" s="187">
        <f>VLOOKUP(Tabulka5912152733[[#This Row],[Tým]],Tabulka3811142632[[Tým]:[Body]],6,FALSE)+Tabulka5912152733[[#This Row],[ ]]</f>
        <v>96</v>
      </c>
      <c r="AK4" s="75">
        <f>VLOOKUP(Tabulka5912152733[[#This Row],[Tým]],Tabulka59121527[[Tým]:[Body]],2,FALSE)</f>
        <v>72</v>
      </c>
      <c r="AL4" s="113">
        <f>Tabulka5912152733[[#This Row],[Umístění]]</f>
        <v>1</v>
      </c>
      <c r="AM4" s="15"/>
      <c r="AP4" s="1"/>
    </row>
    <row r="5" spans="1:42" ht="24.95" customHeight="1" x14ac:dyDescent="0.4">
      <c r="B5" s="6">
        <v>43</v>
      </c>
      <c r="C5" s="1">
        <f>IF(Tabulka1710132531[[#This Row],[ ]]="","",IF(Tabulka1710132531[[#This Row],[ ]]="NEÚČAST","",IF(OR(Tabulka1710132531[Výsledný čas]="N",Tabulka1710132531[Výsledný čas]="D"),$L$4-$L$5,_xlfn.RANK.EQ(Tabulka1710132531[[#This Row],[ ]],Tabulka1710132531[[ ]],1))))</f>
        <v>2</v>
      </c>
      <c r="D5" s="7" t="s">
        <v>113</v>
      </c>
      <c r="E5" s="8">
        <v>14.88</v>
      </c>
      <c r="F5" s="8">
        <v>14.99</v>
      </c>
      <c r="G5" s="237">
        <f>IF(OR(Tabulka1710132531[[#This Row],[LP]]="N",Tabulka1710132531[[#This Row],[PP]]="N"),"N",IF(OR(Tabulka1710132531[[#This Row],[LP]]="D",Tabulka1710132531[[#This Row],[PP]]="D"),"D",IF(OR(Tabulka1710132531[[#This Row],[LP]]="NEÚČAST",Tabulka1710132531[[#This Row],[PP]]="NEÚČAST"),"NEÚČAST",IF(OR(Tabulka1710132531[[#This Row],[LP]]="",Tabulka1710132531[[#This Row],[PP]]=""),"",MAX(Tabulka1710132531[[#This Row],[LP]:[PP]])))))</f>
        <v>14.99</v>
      </c>
      <c r="H5" s="1">
        <f>COUNTIF(Tabulka1710132531[[#This Row],[Tým]],"*")</f>
        <v>1</v>
      </c>
      <c r="I5" s="1">
        <f>COUNTIF(Tabulka1710132531[[#This Row],[Výsledný čas]],"NEÚČAST")</f>
        <v>0</v>
      </c>
      <c r="J5" s="1">
        <f>IF(Tabulka1710132531[[#This Row],[Výsledný čas]]="N",998,IF(Tabulka1710132531[[#This Row],[Výsledný čas]]="D",998,IF(Tabulka1710132531[[#This Row],[Výsledný čas]]="","",Tabulka1710132531[[#This Row],[Výsledný čas]])))</f>
        <v>14.99</v>
      </c>
      <c r="L5" s="1">
        <f>SUM(Tabulka1710132531[Sloupec2])</f>
        <v>1</v>
      </c>
      <c r="N5" s="30">
        <v>21</v>
      </c>
      <c r="O5" s="25">
        <f>IF(Tabulka17101363036[[#This Row],[ ]]="","",IF(Tabulka17101363036[[#This Row],[ ]]="NEÚČAST","",IF(OR(Tabulka17101363036[Výsledný čas]="N",Tabulka17101363036[Výsledný čas]="D"),$X$4-$X$5,_xlfn.RANK.EQ(Tabulka17101363036[[#This Row],[ ]],Tabulka17101363036[[ ]],1))))</f>
        <v>2</v>
      </c>
      <c r="P5" s="26" t="s">
        <v>34</v>
      </c>
      <c r="Q5" s="5">
        <v>16.13</v>
      </c>
      <c r="R5" s="5">
        <v>16.28</v>
      </c>
      <c r="S5" s="234">
        <f>IF(OR(Tabulka17101363036[[#This Row],[LP]]="N",Tabulka17101363036[[#This Row],[PP]]="N"),"N",IF(OR(Tabulka17101363036[[#This Row],[LP]]="D",Tabulka17101363036[[#This Row],[PP]]="D"),"D",IF(OR(Tabulka17101363036[[#This Row],[LP]]="NEÚČAST",Tabulka17101363036[[#This Row],[PP]]="NEÚČAST"),"NEÚČAST",IF(OR(Tabulka17101363036[[#This Row],[LP]]="",Tabulka17101363036[[#This Row],[PP]]=""),"",MAX(Tabulka17101363036[[#This Row],[LP]:[PP]])))))</f>
        <v>16.28</v>
      </c>
      <c r="T5" s="240">
        <f>COUNTIF(Tabulka17101363036[[#This Row],[Tým]],"*")</f>
        <v>1</v>
      </c>
      <c r="U5" s="46">
        <f>COUNTIF(Tabulka17101363036[[#This Row],[Výsledný čas]],"NEÚČAST")</f>
        <v>0</v>
      </c>
      <c r="V5" s="29">
        <f>IF(Tabulka17101363036[[#This Row],[Výsledný čas]]="N",998,IF(Tabulka17101363036[[#This Row],[Výsledný čas]]="D",998,IF(Tabulka17101363036[[#This Row],[Výsledný čas]]="","",Tabulka17101363036[[#This Row],[Výsledný čas]])))</f>
        <v>16.28</v>
      </c>
      <c r="X5" s="1">
        <f>SUM(Tabulka17101363036[Sloupec2])</f>
        <v>0</v>
      </c>
      <c r="Z5" s="31">
        <f>IF(OR(Tabulka3811142632[Výsledný čas]="N",Tabulka3811142632[Výsledný čas]="D",Tabulka3811142632[Výsledný čas]="NEÚČAST"),Uvod!$E$4,_xlfn.RANK.EQ(Tabulka3811142632[[#This Row],[ ]],Tabulka3811142632[[ ]],1))</f>
        <v>2</v>
      </c>
      <c r="AA5" s="51" t="s">
        <v>20</v>
      </c>
      <c r="AB5" s="44">
        <f>VLOOKUP(Tabulka3811142632[[#This Row],[Tým]],Tabulka1710132531[[Tým]:[ ]],2,FALSE)</f>
        <v>15.36</v>
      </c>
      <c r="AC5" s="44">
        <f>VLOOKUP(Tabulka3811142632[[#This Row],[Tým]],Tabulka1710132531[[Tým]:[ ]],3,FALSE)</f>
        <v>14.87</v>
      </c>
      <c r="AD5" s="25">
        <f>VLOOKUP(Tabulka3811142632[[#This Row],[Tým]],Tabulka1710132531[[Tým]:[ ]],4,FALSE)</f>
        <v>15.36</v>
      </c>
      <c r="AE5" s="25">
        <f>VLOOKUP(Tabulka3811142632[[#This Row],[Tým]],Tabulka1710132531[[Tým]:[ ]],7,FALSE)</f>
        <v>15.36</v>
      </c>
      <c r="AF5" s="29">
        <f>IF(Tabulka3811142632[[#This Row],[Výsledný čas]]="N",5,IF(Tabulka3811142632[[#This Row],[Výsledný čas]]="D",0,IF(Tabulka3811142632[[#This Row],[Výsledný čas]]="NEÚČAST",0,Tabulka4[[#Totals],[Týmy muži]]+6-Tabulka3811142632[[#This Row],[Umístění]])))</f>
        <v>23</v>
      </c>
      <c r="AH5" s="31">
        <f>_xlfn.RANK.EQ(Tabulka5912152733[[#This Row],[Body]],Tabulka5912152733[Body],0)</f>
        <v>2</v>
      </c>
      <c r="AI5" s="51" t="s">
        <v>22</v>
      </c>
      <c r="AJ5" s="188">
        <f>VLOOKUP(Tabulka5912152733[[#This Row],[Tým]],Tabulka3811142632[[Tým]:[Body]],6,FALSE)+Tabulka5912152733[[#This Row],[ ]]</f>
        <v>83</v>
      </c>
      <c r="AK5" s="75">
        <f>VLOOKUP(Tabulka5912152733[[#This Row],[Tým]],Tabulka59121527[[Tým]:[Body]],2,FALSE)</f>
        <v>61</v>
      </c>
      <c r="AL5" s="82">
        <f>Tabulka5912152733[[#This Row],[Umístění]]</f>
        <v>2</v>
      </c>
      <c r="AM5" s="15"/>
      <c r="AP5" s="1"/>
    </row>
    <row r="6" spans="1:42" ht="24.95" customHeight="1" x14ac:dyDescent="0.4">
      <c r="B6" s="6">
        <v>37</v>
      </c>
      <c r="C6" s="1">
        <f>IF(Tabulka1710132531[[#This Row],[ ]]="","",IF(Tabulka1710132531[[#This Row],[ ]]="NEÚČAST","",IF(OR(Tabulka1710132531[Výsledný čas]="N",Tabulka1710132531[Výsledný čas]="D"),$L$4-$L$5,_xlfn.RANK.EQ(Tabulka1710132531[[#This Row],[ ]],Tabulka1710132531[[ ]],1))))</f>
        <v>3</v>
      </c>
      <c r="D6" s="7" t="s">
        <v>19</v>
      </c>
      <c r="E6" s="8">
        <v>15.09</v>
      </c>
      <c r="F6" s="8">
        <v>14.79</v>
      </c>
      <c r="G6" s="237">
        <f>IF(OR(Tabulka1710132531[[#This Row],[LP]]="N",Tabulka1710132531[[#This Row],[PP]]="N"),"N",IF(OR(Tabulka1710132531[[#This Row],[LP]]="D",Tabulka1710132531[[#This Row],[PP]]="D"),"D",IF(OR(Tabulka1710132531[[#This Row],[LP]]="NEÚČAST",Tabulka1710132531[[#This Row],[PP]]="NEÚČAST"),"NEÚČAST",IF(OR(Tabulka1710132531[[#This Row],[LP]]="",Tabulka1710132531[[#This Row],[PP]]=""),"",MAX(Tabulka1710132531[[#This Row],[LP]:[PP]])))))</f>
        <v>15.09</v>
      </c>
      <c r="H6" s="1">
        <f>COUNTIF(Tabulka1710132531[[#This Row],[Tým]],"*")</f>
        <v>1</v>
      </c>
      <c r="I6" s="1">
        <f>COUNTIF(Tabulka1710132531[[#This Row],[Výsledný čas]],"NEÚČAST")</f>
        <v>0</v>
      </c>
      <c r="J6" s="1">
        <f>IF(Tabulka1710132531[[#This Row],[Výsledný čas]]="N",998,IF(Tabulka1710132531[[#This Row],[Výsledný čas]]="D",998,IF(Tabulka1710132531[[#This Row],[Výsledný čas]]="","",Tabulka1710132531[[#This Row],[Výsledný čas]])))</f>
        <v>15.09</v>
      </c>
      <c r="N6" s="30">
        <v>10</v>
      </c>
      <c r="O6" s="25">
        <f>IF(Tabulka17101363036[[#This Row],[ ]]="","",IF(Tabulka17101363036[[#This Row],[ ]]="NEÚČAST","",IF(OR(Tabulka17101363036[Výsledný čas]="N",Tabulka17101363036[Výsledný čas]="D"),$X$4-$X$5,_xlfn.RANK.EQ(Tabulka17101363036[[#This Row],[ ]],Tabulka17101363036[[ ]],1))))</f>
        <v>3</v>
      </c>
      <c r="P6" s="26" t="s">
        <v>117</v>
      </c>
      <c r="Q6" s="239">
        <v>16.05</v>
      </c>
      <c r="R6" s="5">
        <v>16.39</v>
      </c>
      <c r="S6" s="234">
        <f>IF(OR(Tabulka17101363036[[#This Row],[LP]]="N",Tabulka17101363036[[#This Row],[PP]]="N"),"N",IF(OR(Tabulka17101363036[[#This Row],[LP]]="D",Tabulka17101363036[[#This Row],[PP]]="D"),"D",IF(OR(Tabulka17101363036[[#This Row],[LP]]="NEÚČAST",Tabulka17101363036[[#This Row],[PP]]="NEÚČAST"),"NEÚČAST",IF(OR(Tabulka17101363036[[#This Row],[LP]]="",Tabulka17101363036[[#This Row],[PP]]=""),"",MAX(Tabulka17101363036[[#This Row],[LP]:[PP]])))))</f>
        <v>16.39</v>
      </c>
      <c r="T6" s="240">
        <f>COUNTIF(Tabulka17101363036[[#This Row],[Tým]],"*")</f>
        <v>1</v>
      </c>
      <c r="U6" s="46">
        <f>COUNTIF(Tabulka17101363036[[#This Row],[Výsledný čas]],"NEÚČAST")</f>
        <v>0</v>
      </c>
      <c r="V6" s="29">
        <f>IF(Tabulka17101363036[[#This Row],[Výsledný čas]]="N",998,IF(Tabulka17101363036[[#This Row],[Výsledný čas]]="D",998,IF(Tabulka17101363036[[#This Row],[Výsledný čas]]="","",Tabulka17101363036[[#This Row],[Výsledný čas]])))</f>
        <v>16.39</v>
      </c>
      <c r="Z6" s="31">
        <f>IF(OR(Tabulka3811142632[Výsledný čas]="N",Tabulka3811142632[Výsledný čas]="D",Tabulka3811142632[Výsledný čas]="NEÚČAST"),Uvod!$E$4,_xlfn.RANK.EQ(Tabulka3811142632[[#This Row],[ ]],Tabulka3811142632[[ ]],1))</f>
        <v>3</v>
      </c>
      <c r="AA6" s="51" t="s">
        <v>22</v>
      </c>
      <c r="AB6" s="44">
        <f>VLOOKUP(Tabulka3811142632[[#This Row],[Tým]],Tabulka1710132531[[Tým]:[ ]],2,FALSE)</f>
        <v>14.51</v>
      </c>
      <c r="AC6" s="44">
        <f>VLOOKUP(Tabulka3811142632[[#This Row],[Tým]],Tabulka1710132531[[Tým]:[ ]],3,FALSE)</f>
        <v>15.43</v>
      </c>
      <c r="AD6" s="25">
        <f>VLOOKUP(Tabulka3811142632[[#This Row],[Tým]],Tabulka1710132531[[Tým]:[ ]],4,FALSE)</f>
        <v>15.43</v>
      </c>
      <c r="AE6" s="25">
        <f>VLOOKUP(Tabulka3811142632[[#This Row],[Tým]],Tabulka1710132531[[Tým]:[ ]],7,FALSE)</f>
        <v>15.43</v>
      </c>
      <c r="AF6" s="29">
        <f>IF(Tabulka3811142632[[#This Row],[Výsledný čas]]="N",5,IF(Tabulka3811142632[[#This Row],[Výsledný čas]]="D",0,IF(Tabulka3811142632[[#This Row],[Výsledný čas]]="NEÚČAST",0,Tabulka4[[#Totals],[Týmy muži]]+6-Tabulka3811142632[[#This Row],[Umístění]])))</f>
        <v>22</v>
      </c>
      <c r="AH6" s="31">
        <f>_xlfn.RANK.EQ(Tabulka5912152733[[#This Row],[Body]],Tabulka5912152733[Body],0)</f>
        <v>3</v>
      </c>
      <c r="AI6" s="51" t="s">
        <v>10</v>
      </c>
      <c r="AJ6" s="188">
        <f>VLOOKUP(Tabulka5912152733[[#This Row],[Tým]],Tabulka3811142632[[Tým]:[Body]],6,FALSE)+Tabulka5912152733[[#This Row],[ ]]</f>
        <v>80</v>
      </c>
      <c r="AK6" s="75">
        <f>VLOOKUP(Tabulka5912152733[[#This Row],[Tým]],Tabulka59121527[[Tým]:[Body]],2,FALSE)</f>
        <v>59</v>
      </c>
      <c r="AL6" s="82">
        <f>Tabulka5912152733[[#This Row],[Umístění]]</f>
        <v>3</v>
      </c>
      <c r="AM6" s="15"/>
      <c r="AP6" s="1"/>
    </row>
    <row r="7" spans="1:42" ht="24.95" customHeight="1" x14ac:dyDescent="0.4">
      <c r="B7" s="6">
        <v>18</v>
      </c>
      <c r="C7" s="1">
        <f>IF(Tabulka1710132531[[#This Row],[ ]]="","",IF(Tabulka1710132531[[#This Row],[ ]]="NEÚČAST","",IF(OR(Tabulka1710132531[Výsledný čas]="N",Tabulka1710132531[Výsledný čas]="D"),$L$4-$L$5,_xlfn.RANK.EQ(Tabulka1710132531[[#This Row],[ ]],Tabulka1710132531[[ ]],1))))</f>
        <v>4</v>
      </c>
      <c r="D7" s="10" t="s">
        <v>12</v>
      </c>
      <c r="E7" s="8">
        <v>15.27</v>
      </c>
      <c r="F7" s="8">
        <v>14.77</v>
      </c>
      <c r="G7" s="237">
        <f>IF(OR(Tabulka1710132531[[#This Row],[LP]]="N",Tabulka1710132531[[#This Row],[PP]]="N"),"N",IF(OR(Tabulka1710132531[[#This Row],[LP]]="D",Tabulka1710132531[[#This Row],[PP]]="D"),"D",IF(OR(Tabulka1710132531[[#This Row],[LP]]="NEÚČAST",Tabulka1710132531[[#This Row],[PP]]="NEÚČAST"),"NEÚČAST",IF(OR(Tabulka1710132531[[#This Row],[LP]]="",Tabulka1710132531[[#This Row],[PP]]=""),"",MAX(Tabulka1710132531[[#This Row],[LP]:[PP]])))))</f>
        <v>15.27</v>
      </c>
      <c r="H7" s="1">
        <f>COUNTIF(Tabulka1710132531[[#This Row],[Tým]],"*")</f>
        <v>1</v>
      </c>
      <c r="I7" s="1">
        <f>COUNTIF(Tabulka1710132531[[#This Row],[Výsledný čas]],"NEÚČAST")</f>
        <v>0</v>
      </c>
      <c r="J7" s="1">
        <f>IF(Tabulka1710132531[[#This Row],[Výsledný čas]]="N",998,IF(Tabulka1710132531[[#This Row],[Výsledný čas]]="D",998,IF(Tabulka1710132531[[#This Row],[Výsledný čas]]="","",Tabulka1710132531[[#This Row],[Výsledný čas]])))</f>
        <v>15.27</v>
      </c>
      <c r="N7" s="31">
        <v>3</v>
      </c>
      <c r="O7" s="25">
        <f>IF(Tabulka17101363036[[#This Row],[ ]]="","",IF(Tabulka17101363036[[#This Row],[ ]]="NEÚČAST","",IF(OR(Tabulka17101363036[Výsledný čas]="N",Tabulka17101363036[Výsledný čas]="D"),$X$4-$X$5,_xlfn.RANK.EQ(Tabulka17101363036[[#This Row],[ ]],Tabulka17101363036[[ ]],1))))</f>
        <v>4</v>
      </c>
      <c r="P7" s="26" t="s">
        <v>115</v>
      </c>
      <c r="Q7" s="5">
        <v>17.25</v>
      </c>
      <c r="R7" s="5">
        <v>16.2</v>
      </c>
      <c r="S7" s="234">
        <f>IF(OR(Tabulka17101363036[[#This Row],[LP]]="N",Tabulka17101363036[[#This Row],[PP]]="N"),"N",IF(OR(Tabulka17101363036[[#This Row],[LP]]="D",Tabulka17101363036[[#This Row],[PP]]="D"),"D",IF(OR(Tabulka17101363036[[#This Row],[LP]]="NEÚČAST",Tabulka17101363036[[#This Row],[PP]]="NEÚČAST"),"NEÚČAST",IF(OR(Tabulka17101363036[[#This Row],[LP]]="",Tabulka17101363036[[#This Row],[PP]]=""),"",MAX(Tabulka17101363036[[#This Row],[LP]:[PP]])))))</f>
        <v>17.25</v>
      </c>
      <c r="T7" s="240">
        <f>COUNTIF(Tabulka17101363036[[#This Row],[Tým]],"*")</f>
        <v>1</v>
      </c>
      <c r="U7" s="46">
        <f>COUNTIF(Tabulka17101363036[[#This Row],[Výsledný čas]],"NEÚČAST")</f>
        <v>0</v>
      </c>
      <c r="V7" s="29">
        <f>IF(Tabulka17101363036[[#This Row],[Výsledný čas]]="N",998,IF(Tabulka17101363036[[#This Row],[Výsledný čas]]="D",998,IF(Tabulka17101363036[[#This Row],[Výsledný čas]]="","",Tabulka17101363036[[#This Row],[Výsledný čas]])))</f>
        <v>17.25</v>
      </c>
      <c r="Z7" s="31">
        <f>IF(OR(Tabulka3811142632[Výsledný čas]="N",Tabulka3811142632[Výsledný čas]="D",Tabulka3811142632[Výsledný čas]="NEÚČAST"),Uvod!$E$4,_xlfn.RANK.EQ(Tabulka3811142632[[#This Row],[ ]],Tabulka3811142632[[ ]],1))</f>
        <v>4</v>
      </c>
      <c r="AA7" s="51" t="s">
        <v>10</v>
      </c>
      <c r="AB7" s="44">
        <f>VLOOKUP(Tabulka3811142632[[#This Row],[Tým]],Tabulka1710132531[[Tým]:[ ]],2,FALSE)</f>
        <v>15.46</v>
      </c>
      <c r="AC7" s="44">
        <f>VLOOKUP(Tabulka3811142632[[#This Row],[Tým]],Tabulka1710132531[[Tým]:[ ]],3,FALSE)</f>
        <v>15.54</v>
      </c>
      <c r="AD7" s="25">
        <f>VLOOKUP(Tabulka3811142632[[#This Row],[Tým]],Tabulka1710132531[[Tým]:[ ]],4,FALSE)</f>
        <v>15.54</v>
      </c>
      <c r="AE7" s="25">
        <f>VLOOKUP(Tabulka3811142632[[#This Row],[Tým]],Tabulka1710132531[[Tým]:[ ]],7,FALSE)</f>
        <v>15.54</v>
      </c>
      <c r="AF7" s="29">
        <f>IF(Tabulka3811142632[[#This Row],[Výsledný čas]]="N",5,IF(Tabulka3811142632[[#This Row],[Výsledný čas]]="D",0,IF(Tabulka3811142632[[#This Row],[Výsledný čas]]="NEÚČAST",0,Tabulka4[[#Totals],[Týmy muži]]+6-Tabulka3811142632[[#This Row],[Umístění]])))</f>
        <v>21</v>
      </c>
      <c r="AH7" s="31">
        <f>_xlfn.RANK.EQ(Tabulka5912152733[[#This Row],[Body]],Tabulka5912152733[Body],0)</f>
        <v>4</v>
      </c>
      <c r="AI7" s="51" t="s">
        <v>23</v>
      </c>
      <c r="AJ7" s="188">
        <f>VLOOKUP(Tabulka5912152733[[#This Row],[Tým]],Tabulka3811142632[[Tým]:[Body]],6,FALSE)+Tabulka5912152733[[#This Row],[ ]]</f>
        <v>79</v>
      </c>
      <c r="AK7" s="75">
        <f>VLOOKUP(Tabulka5912152733[[#This Row],[Tým]],Tabulka59121527[[Tým]:[Body]],2,FALSE)</f>
        <v>59</v>
      </c>
      <c r="AL7" s="82">
        <f>Tabulka5912152733[[#This Row],[Umístění]]</f>
        <v>4</v>
      </c>
      <c r="AM7" s="15"/>
      <c r="AP7" s="1"/>
    </row>
    <row r="8" spans="1:42" ht="24.95" customHeight="1" x14ac:dyDescent="0.4">
      <c r="B8" s="6">
        <v>6</v>
      </c>
      <c r="C8" s="1">
        <f>IF(Tabulka1710132531[[#This Row],[ ]]="","",IF(Tabulka1710132531[[#This Row],[ ]]="NEÚČAST","",IF(OR(Tabulka1710132531[Výsledný čas]="N",Tabulka1710132531[Výsledný čas]="D"),$L$4-$L$5,_xlfn.RANK.EQ(Tabulka1710132531[[#This Row],[ ]],Tabulka1710132531[[ ]],1))))</f>
        <v>5</v>
      </c>
      <c r="D8" s="7" t="s">
        <v>20</v>
      </c>
      <c r="E8" s="8">
        <v>15.36</v>
      </c>
      <c r="F8" s="8">
        <v>14.87</v>
      </c>
      <c r="G8" s="237">
        <f>IF(OR(Tabulka1710132531[[#This Row],[LP]]="N",Tabulka1710132531[[#This Row],[PP]]="N"),"N",IF(OR(Tabulka1710132531[[#This Row],[LP]]="D",Tabulka1710132531[[#This Row],[PP]]="D"),"D",IF(OR(Tabulka1710132531[[#This Row],[LP]]="NEÚČAST",Tabulka1710132531[[#This Row],[PP]]="NEÚČAST"),"NEÚČAST",IF(OR(Tabulka1710132531[[#This Row],[LP]]="",Tabulka1710132531[[#This Row],[PP]]=""),"",MAX(Tabulka1710132531[[#This Row],[LP]:[PP]])))))</f>
        <v>15.36</v>
      </c>
      <c r="H8" s="1">
        <f>COUNTIF(Tabulka1710132531[[#This Row],[Tým]],"*")</f>
        <v>1</v>
      </c>
      <c r="I8" s="1">
        <f>COUNTIF(Tabulka1710132531[[#This Row],[Výsledný čas]],"NEÚČAST")</f>
        <v>0</v>
      </c>
      <c r="J8" s="1">
        <f>IF(Tabulka1710132531[[#This Row],[Výsledný čas]]="N",998,IF(Tabulka1710132531[[#This Row],[Výsledný čas]]="D",998,IF(Tabulka1710132531[[#This Row],[Výsledný čas]]="","",Tabulka1710132531[[#This Row],[Výsledný čas]])))</f>
        <v>15.36</v>
      </c>
      <c r="N8" s="31">
        <v>42</v>
      </c>
      <c r="O8" s="25">
        <f>IF(Tabulka17101363036[[#This Row],[ ]]="","",IF(Tabulka17101363036[[#This Row],[ ]]="NEÚČAST","",IF(OR(Tabulka17101363036[Výsledný čas]="N",Tabulka17101363036[Výsledný čas]="D"),$X$4-$X$5,_xlfn.RANK.EQ(Tabulka17101363036[[#This Row],[ ]],Tabulka17101363036[[ ]],1))))</f>
        <v>5</v>
      </c>
      <c r="P8" s="26" t="s">
        <v>18</v>
      </c>
      <c r="Q8" s="5">
        <v>18.23</v>
      </c>
      <c r="R8" s="5">
        <v>17.690000000000001</v>
      </c>
      <c r="S8" s="234">
        <f>IF(OR(Tabulka17101363036[[#This Row],[LP]]="N",Tabulka17101363036[[#This Row],[PP]]="N"),"N",IF(OR(Tabulka17101363036[[#This Row],[LP]]="D",Tabulka17101363036[[#This Row],[PP]]="D"),"D",IF(OR(Tabulka17101363036[[#This Row],[LP]]="NEÚČAST",Tabulka17101363036[[#This Row],[PP]]="NEÚČAST"),"NEÚČAST",IF(OR(Tabulka17101363036[[#This Row],[LP]]="",Tabulka17101363036[[#This Row],[PP]]=""),"",MAX(Tabulka17101363036[[#This Row],[LP]:[PP]])))))</f>
        <v>18.23</v>
      </c>
      <c r="T8" s="240">
        <f>COUNTIF(Tabulka17101363036[[#This Row],[Tým]],"*")</f>
        <v>1</v>
      </c>
      <c r="U8" s="46">
        <f>COUNTIF(Tabulka17101363036[[#This Row],[Výsledný čas]],"NEÚČAST")</f>
        <v>0</v>
      </c>
      <c r="V8" s="29">
        <f>IF(Tabulka17101363036[[#This Row],[Výsledný čas]]="N",998,IF(Tabulka17101363036[[#This Row],[Výsledný čas]]="D",998,IF(Tabulka17101363036[[#This Row],[Výsledný čas]]="","",Tabulka17101363036[[#This Row],[Výsledný čas]])))</f>
        <v>18.23</v>
      </c>
      <c r="Z8" s="31">
        <f>IF(OR(Tabulka3811142632[Výsledný čas]="N",Tabulka3811142632[Výsledný čas]="D",Tabulka3811142632[Výsledný čas]="NEÚČAST"),Uvod!$E$4,_xlfn.RANK.EQ(Tabulka3811142632[[#This Row],[ ]],Tabulka3811142632[[ ]],1))</f>
        <v>5</v>
      </c>
      <c r="AA8" s="51" t="s">
        <v>23</v>
      </c>
      <c r="AB8" s="44">
        <f>VLOOKUP(Tabulka3811142632[[#This Row],[Tým]],Tabulka1710132531[[Tým]:[ ]],2,FALSE)</f>
        <v>15.14</v>
      </c>
      <c r="AC8" s="44">
        <f>VLOOKUP(Tabulka3811142632[[#This Row],[Tým]],Tabulka1710132531[[Tým]:[ ]],3,FALSE)</f>
        <v>15.89</v>
      </c>
      <c r="AD8" s="25">
        <f>VLOOKUP(Tabulka3811142632[[#This Row],[Tým]],Tabulka1710132531[[Tým]:[ ]],4,FALSE)</f>
        <v>15.89</v>
      </c>
      <c r="AE8" s="25">
        <f>VLOOKUP(Tabulka3811142632[[#This Row],[Tým]],Tabulka1710132531[[Tým]:[ ]],7,FALSE)</f>
        <v>15.89</v>
      </c>
      <c r="AF8" s="29">
        <f>IF(Tabulka3811142632[[#This Row],[Výsledný čas]]="N",5,IF(Tabulka3811142632[[#This Row],[Výsledný čas]]="D",0,IF(Tabulka3811142632[[#This Row],[Výsledný čas]]="NEÚČAST",0,Tabulka4[[#Totals],[Týmy muži]]+6-Tabulka3811142632[[#This Row],[Umístění]])))</f>
        <v>20</v>
      </c>
      <c r="AH8" s="31">
        <f>_xlfn.RANK.EQ(Tabulka5912152733[[#This Row],[Body]],Tabulka5912152733[Body],0)</f>
        <v>5</v>
      </c>
      <c r="AI8" s="51" t="s">
        <v>20</v>
      </c>
      <c r="AJ8" s="188">
        <f>VLOOKUP(Tabulka5912152733[[#This Row],[Tým]],Tabulka3811142632[[Tým]:[Body]],6,FALSE)+Tabulka5912152733[[#This Row],[ ]]</f>
        <v>75</v>
      </c>
      <c r="AK8" s="75">
        <f>VLOOKUP(Tabulka5912152733[[#This Row],[Tým]],Tabulka59121527[[Tým]:[Body]],2,FALSE)</f>
        <v>52</v>
      </c>
      <c r="AL8" s="82">
        <f>Tabulka5912152733[[#This Row],[Umístění]]</f>
        <v>5</v>
      </c>
      <c r="AM8" s="15"/>
      <c r="AP8" s="1"/>
    </row>
    <row r="9" spans="1:42" ht="24.95" customHeight="1" x14ac:dyDescent="0.4">
      <c r="B9" s="11">
        <v>1</v>
      </c>
      <c r="C9" s="1">
        <f>IF(Tabulka1710132531[[#This Row],[ ]]="","",IF(Tabulka1710132531[[#This Row],[ ]]="NEÚČAST","",IF(OR(Tabulka1710132531[Výsledný čas]="N",Tabulka1710132531[Výsledný čas]="D"),$L$4-$L$5,_xlfn.RANK.EQ(Tabulka1710132531[[#This Row],[ ]],Tabulka1710132531[[ ]],1))))</f>
        <v>6</v>
      </c>
      <c r="D9" s="7" t="s">
        <v>22</v>
      </c>
      <c r="E9" s="8">
        <v>14.51</v>
      </c>
      <c r="F9" s="8">
        <v>15.43</v>
      </c>
      <c r="G9" s="237">
        <f>IF(OR(Tabulka1710132531[[#This Row],[LP]]="N",Tabulka1710132531[[#This Row],[PP]]="N"),"N",IF(OR(Tabulka1710132531[[#This Row],[LP]]="D",Tabulka1710132531[[#This Row],[PP]]="D"),"D",IF(OR(Tabulka1710132531[[#This Row],[LP]]="NEÚČAST",Tabulka1710132531[[#This Row],[PP]]="NEÚČAST"),"NEÚČAST",IF(OR(Tabulka1710132531[[#This Row],[LP]]="",Tabulka1710132531[[#This Row],[PP]]=""),"",MAX(Tabulka1710132531[[#This Row],[LP]:[PP]])))))</f>
        <v>15.43</v>
      </c>
      <c r="H9" s="1">
        <f>COUNTIF(Tabulka1710132531[[#This Row],[Tým]],"*")</f>
        <v>1</v>
      </c>
      <c r="I9" s="1">
        <f>COUNTIF(Tabulka1710132531[[#This Row],[Výsledný čas]],"NEÚČAST")</f>
        <v>0</v>
      </c>
      <c r="J9" s="1">
        <f>IF(Tabulka1710132531[[#This Row],[Výsledný čas]]="N",998,IF(Tabulka1710132531[[#This Row],[Výsledný čas]]="D",998,IF(Tabulka1710132531[[#This Row],[Výsledný čas]]="","",Tabulka1710132531[[#This Row],[Výsledný čas]])))</f>
        <v>15.43</v>
      </c>
      <c r="N9" s="30">
        <v>41</v>
      </c>
      <c r="O9" s="25">
        <f>IF(Tabulka17101363036[[#This Row],[ ]]="","",IF(Tabulka17101363036[[#This Row],[ ]]="NEÚČAST","",IF(OR(Tabulka17101363036[Výsledný čas]="N",Tabulka17101363036[Výsledný čas]="D"),$X$4-$X$5,_xlfn.RANK.EQ(Tabulka17101363036[[#This Row],[ ]],Tabulka17101363036[[ ]],1))))</f>
        <v>6</v>
      </c>
      <c r="P9" s="26" t="s">
        <v>19</v>
      </c>
      <c r="Q9" s="5">
        <v>18.100000000000001</v>
      </c>
      <c r="R9" s="5">
        <v>18.27</v>
      </c>
      <c r="S9" s="234">
        <f>IF(OR(Tabulka17101363036[[#This Row],[LP]]="N",Tabulka17101363036[[#This Row],[PP]]="N"),"N",IF(OR(Tabulka17101363036[[#This Row],[LP]]="D",Tabulka17101363036[[#This Row],[PP]]="D"),"D",IF(OR(Tabulka17101363036[[#This Row],[LP]]="NEÚČAST",Tabulka17101363036[[#This Row],[PP]]="NEÚČAST"),"NEÚČAST",IF(OR(Tabulka17101363036[[#This Row],[LP]]="",Tabulka17101363036[[#This Row],[PP]]=""),"",MAX(Tabulka17101363036[[#This Row],[LP]:[PP]])))))</f>
        <v>18.27</v>
      </c>
      <c r="T9" s="240">
        <f>COUNTIF(Tabulka17101363036[[#This Row],[Tým]],"*")</f>
        <v>1</v>
      </c>
      <c r="U9" s="46">
        <f>COUNTIF(Tabulka17101363036[[#This Row],[Výsledný čas]],"NEÚČAST")</f>
        <v>0</v>
      </c>
      <c r="V9" s="29">
        <f>IF(Tabulka17101363036[[#This Row],[Výsledný čas]]="N",998,IF(Tabulka17101363036[[#This Row],[Výsledný čas]]="D",998,IF(Tabulka17101363036[[#This Row],[Výsledný čas]]="","",Tabulka17101363036[[#This Row],[Výsledný čas]])))</f>
        <v>18.27</v>
      </c>
      <c r="Z9" s="31">
        <f>IF(OR(Tabulka3811142632[Výsledný čas]="N",Tabulka3811142632[Výsledný čas]="D",Tabulka3811142632[Výsledný čas]="NEÚČAST"),Uvod!$E$4,_xlfn.RANK.EQ(Tabulka3811142632[[#This Row],[ ]],Tabulka3811142632[[ ]],1))</f>
        <v>6</v>
      </c>
      <c r="AA9" s="97" t="s">
        <v>13</v>
      </c>
      <c r="AB9" s="44">
        <f>VLOOKUP(Tabulka3811142632[[#This Row],[Tým]],Tabulka1710132531[[Tým]:[ ]],2,FALSE)</f>
        <v>14.71</v>
      </c>
      <c r="AC9" s="44">
        <f>VLOOKUP(Tabulka3811142632[[#This Row],[Tým]],Tabulka1710132531[[Tým]:[ ]],3,FALSE)</f>
        <v>15.97</v>
      </c>
      <c r="AD9" s="25">
        <f>VLOOKUP(Tabulka3811142632[[#This Row],[Tým]],Tabulka1710132531[[Tým]:[ ]],4,FALSE)</f>
        <v>15.97</v>
      </c>
      <c r="AE9" s="25">
        <f>VLOOKUP(Tabulka3811142632[[#This Row],[Tým]],Tabulka1710132531[[Tým]:[ ]],7,FALSE)</f>
        <v>15.97</v>
      </c>
      <c r="AF9" s="29">
        <f>IF(Tabulka3811142632[[#This Row],[Výsledný čas]]="N",5,IF(Tabulka3811142632[[#This Row],[Výsledný čas]]="D",0,IF(Tabulka3811142632[[#This Row],[Výsledný čas]]="NEÚČAST",0,Tabulka4[[#Totals],[Týmy muži]]+6-Tabulka3811142632[[#This Row],[Umístění]])))</f>
        <v>19</v>
      </c>
      <c r="AH9" s="31">
        <f>_xlfn.RANK.EQ(Tabulka5912152733[[#This Row],[Body]],Tabulka5912152733[Body],0)</f>
        <v>6</v>
      </c>
      <c r="AI9" s="51" t="s">
        <v>30</v>
      </c>
      <c r="AJ9" s="188">
        <f>VLOOKUP(Tabulka5912152733[[#This Row],[Tým]],Tabulka3811142632[[Tým]:[Body]],6,FALSE)+Tabulka5912152733[[#This Row],[ ]]</f>
        <v>67</v>
      </c>
      <c r="AK9" s="75">
        <f>VLOOKUP(Tabulka5912152733[[#This Row],[Tým]],Tabulka59121527[[Tým]:[Body]],2,FALSE)</f>
        <v>49</v>
      </c>
      <c r="AL9" s="82">
        <f>Tabulka5912152733[[#This Row],[Umístění]]</f>
        <v>6</v>
      </c>
      <c r="AM9" s="15"/>
      <c r="AP9" s="1"/>
    </row>
    <row r="10" spans="1:42" ht="24.95" customHeight="1" x14ac:dyDescent="0.4">
      <c r="B10" s="6">
        <v>24</v>
      </c>
      <c r="C10" s="1">
        <f>IF(Tabulka1710132531[[#This Row],[ ]]="","",IF(Tabulka1710132531[[#This Row],[ ]]="NEÚČAST","",IF(OR(Tabulka1710132531[Výsledný čas]="N",Tabulka1710132531[Výsledný čas]="D"),$L$4-$L$5,_xlfn.RANK.EQ(Tabulka1710132531[[#This Row],[ ]],Tabulka1710132531[[ ]],1))))</f>
        <v>7</v>
      </c>
      <c r="D10" s="7" t="s">
        <v>10</v>
      </c>
      <c r="E10" s="8">
        <v>15.46</v>
      </c>
      <c r="F10" s="8">
        <v>15.54</v>
      </c>
      <c r="G10" s="237">
        <f>IF(OR(Tabulka1710132531[[#This Row],[LP]]="N",Tabulka1710132531[[#This Row],[PP]]="N"),"N",IF(OR(Tabulka1710132531[[#This Row],[LP]]="D",Tabulka1710132531[[#This Row],[PP]]="D"),"D",IF(OR(Tabulka1710132531[[#This Row],[LP]]="NEÚČAST",Tabulka1710132531[[#This Row],[PP]]="NEÚČAST"),"NEÚČAST",IF(OR(Tabulka1710132531[[#This Row],[LP]]="",Tabulka1710132531[[#This Row],[PP]]=""),"",MAX(Tabulka1710132531[[#This Row],[LP]:[PP]])))))</f>
        <v>15.54</v>
      </c>
      <c r="H10" s="1">
        <f>COUNTIF(Tabulka1710132531[[#This Row],[Tým]],"*")</f>
        <v>1</v>
      </c>
      <c r="I10" s="1">
        <f>COUNTIF(Tabulka1710132531[[#This Row],[Výsledný čas]],"NEÚČAST")</f>
        <v>0</v>
      </c>
      <c r="J10" s="1">
        <f>IF(Tabulka1710132531[[#This Row],[Výsledný čas]]="N",998,IF(Tabulka1710132531[[#This Row],[Výsledný čas]]="D",998,IF(Tabulka1710132531[[#This Row],[Výsledný čas]]="","",Tabulka1710132531[[#This Row],[Výsledný čas]])))</f>
        <v>15.54</v>
      </c>
      <c r="N10" s="30">
        <v>35</v>
      </c>
      <c r="O10" s="25">
        <f>IF(Tabulka17101363036[[#This Row],[ ]]="","",IF(Tabulka17101363036[[#This Row],[ ]]="NEÚČAST","",IF(OR(Tabulka17101363036[Výsledný čas]="N",Tabulka17101363036[Výsledný čas]="D"),$X$4-$X$5,_xlfn.RANK.EQ(Tabulka17101363036[[#This Row],[ ]],Tabulka17101363036[[ ]],1))))</f>
        <v>7</v>
      </c>
      <c r="P10" s="26" t="s">
        <v>35</v>
      </c>
      <c r="Q10" s="5">
        <v>19.55</v>
      </c>
      <c r="R10" s="5">
        <v>18.82</v>
      </c>
      <c r="S10" s="234">
        <f>IF(OR(Tabulka17101363036[[#This Row],[LP]]="N",Tabulka17101363036[[#This Row],[PP]]="N"),"N",IF(OR(Tabulka17101363036[[#This Row],[LP]]="D",Tabulka17101363036[[#This Row],[PP]]="D"),"D",IF(OR(Tabulka17101363036[[#This Row],[LP]]="NEÚČAST",Tabulka17101363036[[#This Row],[PP]]="NEÚČAST"),"NEÚČAST",IF(OR(Tabulka17101363036[[#This Row],[LP]]="",Tabulka17101363036[[#This Row],[PP]]=""),"",MAX(Tabulka17101363036[[#This Row],[LP]:[PP]])))))</f>
        <v>19.55</v>
      </c>
      <c r="T10" s="240">
        <f>COUNTIF(Tabulka17101363036[[#This Row],[Tým]],"*")</f>
        <v>1</v>
      </c>
      <c r="U10" s="46">
        <f>COUNTIF(Tabulka17101363036[[#This Row],[Výsledný čas]],"NEÚČAST")</f>
        <v>0</v>
      </c>
      <c r="V10" s="29">
        <f>IF(Tabulka17101363036[[#This Row],[Výsledný čas]]="N",998,IF(Tabulka17101363036[[#This Row],[Výsledný čas]]="D",998,IF(Tabulka17101363036[[#This Row],[Výsledný čas]]="","",Tabulka17101363036[[#This Row],[Výsledný čas]])))</f>
        <v>19.55</v>
      </c>
      <c r="Z10" s="31">
        <f>IF(OR(Tabulka3811142632[Výsledný čas]="N",Tabulka3811142632[Výsledný čas]="D",Tabulka3811142632[Výsledný čas]="NEÚČAST"),Uvod!$E$4,_xlfn.RANK.EQ(Tabulka3811142632[[#This Row],[ ]],Tabulka3811142632[[ ]],1))</f>
        <v>7</v>
      </c>
      <c r="AA10" s="51" t="s">
        <v>30</v>
      </c>
      <c r="AB10" s="44">
        <f>VLOOKUP(Tabulka3811142632[[#This Row],[Tým]],Tabulka1710132531[[Tým]:[ ]],2,FALSE)</f>
        <v>16.29</v>
      </c>
      <c r="AC10" s="44">
        <f>VLOOKUP(Tabulka3811142632[[#This Row],[Tým]],Tabulka1710132531[[Tým]:[ ]],3,FALSE)</f>
        <v>15.32</v>
      </c>
      <c r="AD10" s="25">
        <f>VLOOKUP(Tabulka3811142632[[#This Row],[Tým]],Tabulka1710132531[[Tým]:[ ]],4,FALSE)</f>
        <v>16.29</v>
      </c>
      <c r="AE10" s="25">
        <f>VLOOKUP(Tabulka3811142632[[#This Row],[Tým]],Tabulka1710132531[[Tým]:[ ]],7,FALSE)</f>
        <v>16.29</v>
      </c>
      <c r="AF10" s="29">
        <f>IF(Tabulka3811142632[[#This Row],[Výsledný čas]]="N",5,IF(Tabulka3811142632[[#This Row],[Výsledný čas]]="D",0,IF(Tabulka3811142632[[#This Row],[Výsledný čas]]="NEÚČAST",0,Tabulka4[[#Totals],[Týmy muži]]+6-Tabulka3811142632[[#This Row],[Umístění]])))</f>
        <v>18</v>
      </c>
      <c r="AH10" s="31">
        <f>_xlfn.RANK.EQ(Tabulka5912152733[[#This Row],[Body]],Tabulka5912152733[Body],0)</f>
        <v>7</v>
      </c>
      <c r="AI10" s="51" t="s">
        <v>11</v>
      </c>
      <c r="AJ10" s="188">
        <f>VLOOKUP(Tabulka5912152733[[#This Row],[Tým]],Tabulka3811142632[[Tým]:[Body]],6,FALSE)+Tabulka5912152733[[#This Row],[ ]]</f>
        <v>59</v>
      </c>
      <c r="AK10" s="75">
        <f>VLOOKUP(Tabulka5912152733[[#This Row],[Tým]],Tabulka59121527[[Tým]:[Body]],2,FALSE)</f>
        <v>44</v>
      </c>
      <c r="AL10" s="82">
        <f>Tabulka5912152733[[#This Row],[Umístění]]</f>
        <v>7</v>
      </c>
      <c r="AM10" s="15"/>
      <c r="AP10" s="1"/>
    </row>
    <row r="11" spans="1:42" ht="24.95" customHeight="1" x14ac:dyDescent="0.4">
      <c r="B11" s="6">
        <v>11</v>
      </c>
      <c r="C11" s="1">
        <f>IF(Tabulka1710132531[[#This Row],[ ]]="","",IF(Tabulka1710132531[[#This Row],[ ]]="NEÚČAST","",IF(OR(Tabulka1710132531[Výsledný čas]="N",Tabulka1710132531[Výsledný čas]="D"),$L$4-$L$5,_xlfn.RANK.EQ(Tabulka1710132531[[#This Row],[ ]],Tabulka1710132531[[ ]],1))))</f>
        <v>8</v>
      </c>
      <c r="D11" s="7" t="s">
        <v>96</v>
      </c>
      <c r="E11" s="8">
        <v>15.51</v>
      </c>
      <c r="F11" s="8">
        <v>15.55</v>
      </c>
      <c r="G11" s="237">
        <f>IF(OR(Tabulka1710132531[[#This Row],[LP]]="N",Tabulka1710132531[[#This Row],[PP]]="N"),"N",IF(OR(Tabulka1710132531[[#This Row],[LP]]="D",Tabulka1710132531[[#This Row],[PP]]="D"),"D",IF(OR(Tabulka1710132531[[#This Row],[LP]]="NEÚČAST",Tabulka1710132531[[#This Row],[PP]]="NEÚČAST"),"NEÚČAST",IF(OR(Tabulka1710132531[[#This Row],[LP]]="",Tabulka1710132531[[#This Row],[PP]]=""),"",MAX(Tabulka1710132531[[#This Row],[LP]:[PP]])))))</f>
        <v>15.55</v>
      </c>
      <c r="H11" s="1">
        <f>COUNTIF(Tabulka1710132531[[#This Row],[Tým]],"*")</f>
        <v>1</v>
      </c>
      <c r="I11" s="1">
        <f>COUNTIF(Tabulka1710132531[[#This Row],[Výsledný čas]],"NEÚČAST")</f>
        <v>0</v>
      </c>
      <c r="J11" s="1">
        <f>IF(Tabulka1710132531[[#This Row],[Výsledný čas]]="N",998,IF(Tabulka1710132531[[#This Row],[Výsledný čas]]="D",998,IF(Tabulka1710132531[[#This Row],[Výsledný čas]]="","",Tabulka1710132531[[#This Row],[Výsledný čas]])))</f>
        <v>15.55</v>
      </c>
      <c r="N11" s="30">
        <v>16</v>
      </c>
      <c r="O11" s="25">
        <f>IF(Tabulka17101363036[[#This Row],[ ]]="","",IF(Tabulka17101363036[[#This Row],[ ]]="NEÚČAST","",IF(OR(Tabulka17101363036[Výsledný čas]="N",Tabulka17101363036[Výsledný čas]="D"),$X$4-$X$5,_xlfn.RANK.EQ(Tabulka17101363036[[#This Row],[ ]],Tabulka17101363036[[ ]],1))))</f>
        <v>8</v>
      </c>
      <c r="P11" s="26" t="s">
        <v>96</v>
      </c>
      <c r="Q11" s="5">
        <v>20.420000000000002</v>
      </c>
      <c r="R11" s="5">
        <v>19.97</v>
      </c>
      <c r="S11" s="234">
        <f>IF(OR(Tabulka17101363036[[#This Row],[LP]]="N",Tabulka17101363036[[#This Row],[PP]]="N"),"N",IF(OR(Tabulka17101363036[[#This Row],[LP]]="D",Tabulka17101363036[[#This Row],[PP]]="D"),"D",IF(OR(Tabulka17101363036[[#This Row],[LP]]="NEÚČAST",Tabulka17101363036[[#This Row],[PP]]="NEÚČAST"),"NEÚČAST",IF(OR(Tabulka17101363036[[#This Row],[LP]]="",Tabulka17101363036[[#This Row],[PP]]=""),"",MAX(Tabulka17101363036[[#This Row],[LP]:[PP]])))))</f>
        <v>20.420000000000002</v>
      </c>
      <c r="T11" s="240">
        <f>COUNTIF(Tabulka17101363036[[#This Row],[Tým]],"*")</f>
        <v>1</v>
      </c>
      <c r="U11" s="46">
        <f>COUNTIF(Tabulka17101363036[[#This Row],[Výsledný čas]],"NEÚČAST")</f>
        <v>0</v>
      </c>
      <c r="V11" s="29">
        <f>IF(Tabulka17101363036[[#This Row],[Výsledný čas]]="N",998,IF(Tabulka17101363036[[#This Row],[Výsledný čas]]="D",998,IF(Tabulka17101363036[[#This Row],[Výsledný čas]]="","",Tabulka17101363036[[#This Row],[Výsledný čas]])))</f>
        <v>20.420000000000002</v>
      </c>
      <c r="Z11" s="31">
        <f>IF(OR(Tabulka3811142632[Výsledný čas]="N",Tabulka3811142632[Výsledný čas]="D",Tabulka3811142632[Výsledný čas]="NEÚČAST"),Uvod!$E$4,_xlfn.RANK.EQ(Tabulka3811142632[[#This Row],[ ]],Tabulka3811142632[[ ]],1))</f>
        <v>8</v>
      </c>
      <c r="AA11" s="51" t="s">
        <v>14</v>
      </c>
      <c r="AB11" s="44">
        <f>VLOOKUP(Tabulka3811142632[[#This Row],[Tým]],Tabulka1710132531[[Tým]:[ ]],2,FALSE)</f>
        <v>15.77</v>
      </c>
      <c r="AC11" s="44">
        <f>VLOOKUP(Tabulka3811142632[[#This Row],[Tým]],Tabulka1710132531[[Tým]:[ ]],3,FALSE)</f>
        <v>16.32</v>
      </c>
      <c r="AD11" s="25">
        <f>VLOOKUP(Tabulka3811142632[[#This Row],[Tým]],Tabulka1710132531[[Tým]:[ ]],4,FALSE)</f>
        <v>16.32</v>
      </c>
      <c r="AE11" s="25">
        <f>VLOOKUP(Tabulka3811142632[[#This Row],[Tým]],Tabulka1710132531[[Tým]:[ ]],7,FALSE)</f>
        <v>16.32</v>
      </c>
      <c r="AF11" s="29">
        <f>IF(Tabulka3811142632[[#This Row],[Výsledný čas]]="N",5,IF(Tabulka3811142632[[#This Row],[Výsledný čas]]="D",0,IF(Tabulka3811142632[[#This Row],[Výsledný čas]]="NEÚČAST",0,Tabulka4[[#Totals],[Týmy muži]]+6-Tabulka3811142632[[#This Row],[Umístění]])))</f>
        <v>17</v>
      </c>
      <c r="AH11" s="31">
        <f>_xlfn.RANK.EQ(Tabulka5912152733[[#This Row],[Body]],Tabulka5912152733[Body],0)</f>
        <v>8</v>
      </c>
      <c r="AI11" s="51" t="s">
        <v>15</v>
      </c>
      <c r="AJ11" s="188">
        <f>VLOOKUP(Tabulka5912152733[[#This Row],[Tým]],Tabulka3811142632[[Tým]:[Body]],6,FALSE)+Tabulka5912152733[[#This Row],[ ]]</f>
        <v>57</v>
      </c>
      <c r="AK11" s="75">
        <f>VLOOKUP(Tabulka5912152733[[#This Row],[Tým]],Tabulka59121527[[Tým]:[Body]],2,FALSE)</f>
        <v>47</v>
      </c>
      <c r="AL11" s="82">
        <f>Tabulka5912152733[[#This Row],[Umístění]]</f>
        <v>8</v>
      </c>
      <c r="AM11" s="15"/>
      <c r="AP11" s="1"/>
    </row>
    <row r="12" spans="1:42" ht="24.95" customHeight="1" x14ac:dyDescent="0.4">
      <c r="B12" s="6">
        <v>7</v>
      </c>
      <c r="C12" s="1">
        <f>IF(Tabulka1710132531[[#This Row],[ ]]="","",IF(Tabulka1710132531[[#This Row],[ ]]="NEÚČAST","",IF(OR(Tabulka1710132531[Výsledný čas]="N",Tabulka1710132531[Výsledný čas]="D"),$L$4-$L$5,_xlfn.RANK.EQ(Tabulka1710132531[[#This Row],[ ]],Tabulka1710132531[[ ]],1))))</f>
        <v>9</v>
      </c>
      <c r="D12" s="7" t="s">
        <v>36</v>
      </c>
      <c r="E12" s="8">
        <v>15.84</v>
      </c>
      <c r="F12" s="8">
        <v>14.84</v>
      </c>
      <c r="G12" s="237">
        <f>IF(OR(Tabulka1710132531[[#This Row],[LP]]="N",Tabulka1710132531[[#This Row],[PP]]="N"),"N",IF(OR(Tabulka1710132531[[#This Row],[LP]]="D",Tabulka1710132531[[#This Row],[PP]]="D"),"D",IF(OR(Tabulka1710132531[[#This Row],[LP]]="NEÚČAST",Tabulka1710132531[[#This Row],[PP]]="NEÚČAST"),"NEÚČAST",IF(OR(Tabulka1710132531[[#This Row],[LP]]="",Tabulka1710132531[[#This Row],[PP]]=""),"",MAX(Tabulka1710132531[[#This Row],[LP]:[PP]])))))</f>
        <v>15.84</v>
      </c>
      <c r="H12" s="1">
        <f>COUNTIF(Tabulka1710132531[[#This Row],[Tým]],"*")</f>
        <v>1</v>
      </c>
      <c r="I12" s="1">
        <f>COUNTIF(Tabulka1710132531[[#This Row],[Výsledný čas]],"NEÚČAST")</f>
        <v>0</v>
      </c>
      <c r="J12" s="1">
        <f>IF(Tabulka1710132531[[#This Row],[Výsledný čas]]="N",998,IF(Tabulka1710132531[[#This Row],[Výsledný čas]]="D",998,IF(Tabulka1710132531[[#This Row],[Výsledný čas]]="","",Tabulka1710132531[[#This Row],[Výsledný čas]])))</f>
        <v>15.84</v>
      </c>
      <c r="N12" s="58">
        <v>29</v>
      </c>
      <c r="O12" s="59">
        <f>IF(Tabulka17101363036[[#This Row],[ ]]="","",IF(Tabulka17101363036[[#This Row],[ ]]="NEÚČAST","",IF(OR(Tabulka17101363036[Výsledný čas]="N",Tabulka17101363036[Výsledný čas]="D"),$X$4-$X$5,_xlfn.RANK.EQ(Tabulka17101363036[[#This Row],[ ]],Tabulka17101363036[[ ]],1))))</f>
        <v>9</v>
      </c>
      <c r="P12" s="89" t="s">
        <v>23</v>
      </c>
      <c r="Q12" s="90">
        <v>20.82</v>
      </c>
      <c r="R12" s="90">
        <v>21.08</v>
      </c>
      <c r="S12" s="244">
        <f>IF(OR(Tabulka17101363036[[#This Row],[LP]]="N",Tabulka17101363036[[#This Row],[PP]]="N"),"N",IF(OR(Tabulka17101363036[[#This Row],[LP]]="D",Tabulka17101363036[[#This Row],[PP]]="D"),"D",IF(OR(Tabulka17101363036[[#This Row],[LP]]="NEÚČAST",Tabulka17101363036[[#This Row],[PP]]="NEÚČAST"),"NEÚČAST",IF(OR(Tabulka17101363036[[#This Row],[LP]]="",Tabulka17101363036[[#This Row],[PP]]=""),"",MAX(Tabulka17101363036[[#This Row],[LP]:[PP]])))))</f>
        <v>21.08</v>
      </c>
      <c r="T12" s="243">
        <f>COUNTIF(Tabulka17101363036[[#This Row],[Tým]],"*")</f>
        <v>1</v>
      </c>
      <c r="U12" s="158">
        <f>COUNTIF(Tabulka17101363036[[#This Row],[Výsledný čas]],"NEÚČAST")</f>
        <v>0</v>
      </c>
      <c r="V12" s="60">
        <f>IF(Tabulka17101363036[[#This Row],[Výsledný čas]]="N",998,IF(Tabulka17101363036[[#This Row],[Výsledný čas]]="D",998,IF(Tabulka17101363036[[#This Row],[Výsledný čas]]="","",Tabulka17101363036[[#This Row],[Výsledný čas]])))</f>
        <v>21.08</v>
      </c>
      <c r="Z12" s="31">
        <f>IF(OR(Tabulka3811142632[Výsledný čas]="N",Tabulka3811142632[Výsledný čas]="D",Tabulka3811142632[Výsledný čas]="NEÚČAST"),Uvod!$E$4,_xlfn.RANK.EQ(Tabulka3811142632[[#This Row],[ ]],Tabulka3811142632[[ ]],1))</f>
        <v>9</v>
      </c>
      <c r="AA12" s="51" t="s">
        <v>25</v>
      </c>
      <c r="AB12" s="44">
        <f>VLOOKUP(Tabulka3811142632[[#This Row],[Tým]],Tabulka1710132531[[Tým]:[ ]],2,FALSE)</f>
        <v>16.95</v>
      </c>
      <c r="AC12" s="44">
        <f>VLOOKUP(Tabulka3811142632[[#This Row],[Tým]],Tabulka1710132531[[Tým]:[ ]],3,FALSE)</f>
        <v>16.28</v>
      </c>
      <c r="AD12" s="25">
        <f>VLOOKUP(Tabulka3811142632[[#This Row],[Tým]],Tabulka1710132531[[Tým]:[ ]],4,FALSE)</f>
        <v>16.95</v>
      </c>
      <c r="AE12" s="25">
        <f>VLOOKUP(Tabulka3811142632[[#This Row],[Tým]],Tabulka1710132531[[Tým]:[ ]],7,FALSE)</f>
        <v>16.95</v>
      </c>
      <c r="AF12" s="29">
        <f>IF(Tabulka3811142632[[#This Row],[Výsledný čas]]="N",5,IF(Tabulka3811142632[[#This Row],[Výsledný čas]]="D",0,IF(Tabulka3811142632[[#This Row],[Výsledný čas]]="NEÚČAST",0,Tabulka4[[#Totals],[Týmy muži]]+6-Tabulka3811142632[[#This Row],[Umístění]])))</f>
        <v>16</v>
      </c>
      <c r="AH12" s="31">
        <f>_xlfn.RANK.EQ(Tabulka5912152733[[#This Row],[Body]],Tabulka5912152733[Body],0)</f>
        <v>9</v>
      </c>
      <c r="AI12" s="51" t="s">
        <v>16</v>
      </c>
      <c r="AJ12" s="188">
        <f>VLOOKUP(Tabulka5912152733[[#This Row],[Tým]],Tabulka3811142632[[Tým]:[Body]],6,FALSE)+Tabulka5912152733[[#This Row],[ ]]</f>
        <v>55</v>
      </c>
      <c r="AK12" s="75">
        <f>VLOOKUP(Tabulka5912152733[[#This Row],[Tým]],Tabulka59121527[[Tým]:[Body]],2,FALSE)</f>
        <v>43</v>
      </c>
      <c r="AL12" s="82">
        <f>Tabulka5912152733[[#This Row],[Umístění]]</f>
        <v>9</v>
      </c>
      <c r="AM12" s="15"/>
      <c r="AP12" s="1"/>
    </row>
    <row r="13" spans="1:42" ht="24.95" customHeight="1" x14ac:dyDescent="0.4">
      <c r="B13" s="6">
        <v>13</v>
      </c>
      <c r="C13" s="1">
        <f>IF(Tabulka1710132531[[#This Row],[ ]]="","",IF(Tabulka1710132531[[#This Row],[ ]]="NEÚČAST","",IF(OR(Tabulka1710132531[Výsledný čas]="N",Tabulka1710132531[Výsledný čas]="D"),$L$4-$L$5,_xlfn.RANK.EQ(Tabulka1710132531[[#This Row],[ ]],Tabulka1710132531[[ ]],1))))</f>
        <v>10</v>
      </c>
      <c r="D13" s="7" t="s">
        <v>23</v>
      </c>
      <c r="E13" s="8">
        <v>15.14</v>
      </c>
      <c r="F13" s="8">
        <v>15.89</v>
      </c>
      <c r="G13" s="237">
        <f>IF(OR(Tabulka1710132531[[#This Row],[LP]]="N",Tabulka1710132531[[#This Row],[PP]]="N"),"N",IF(OR(Tabulka1710132531[[#This Row],[LP]]="D",Tabulka1710132531[[#This Row],[PP]]="D"),"D",IF(OR(Tabulka1710132531[[#This Row],[LP]]="NEÚČAST",Tabulka1710132531[[#This Row],[PP]]="NEÚČAST"),"NEÚČAST",IF(OR(Tabulka1710132531[[#This Row],[LP]]="",Tabulka1710132531[[#This Row],[PP]]=""),"",MAX(Tabulka1710132531[[#This Row],[LP]:[PP]])))))</f>
        <v>15.89</v>
      </c>
      <c r="H13" s="1">
        <f>COUNTIF(Tabulka1710132531[[#This Row],[Tým]],"*")</f>
        <v>1</v>
      </c>
      <c r="I13" s="1">
        <f>COUNTIF(Tabulka1710132531[[#This Row],[Výsledný čas]],"NEÚČAST")</f>
        <v>0</v>
      </c>
      <c r="J13" s="1">
        <f>IF(Tabulka1710132531[[#This Row],[Výsledný čas]]="N",998,IF(Tabulka1710132531[[#This Row],[Výsledný čas]]="D",998,IF(Tabulka1710132531[[#This Row],[Výsledný čas]]="","",Tabulka1710132531[[#This Row],[Výsledný čas]])))</f>
        <v>15.89</v>
      </c>
      <c r="N13" s="31">
        <v>2</v>
      </c>
      <c r="O13" s="25">
        <f>IF(Tabulka17101363036[[#This Row],[ ]]="","",IF(Tabulka17101363036[[#This Row],[ ]]="NEÚČAST","",IF(OR(Tabulka17101363036[Výsledný čas]="N",Tabulka17101363036[Výsledný čas]="D"),$X$4-$X$5,_xlfn.RANK.EQ(Tabulka17101363036[[#This Row],[ ]],Tabulka17101363036[[ ]],1))))</f>
        <v>10</v>
      </c>
      <c r="P13" s="26" t="s">
        <v>36</v>
      </c>
      <c r="Q13" s="5">
        <v>24.04</v>
      </c>
      <c r="R13" s="5">
        <v>23.47</v>
      </c>
      <c r="S13" s="234">
        <f>IF(OR(Tabulka17101363036[[#This Row],[LP]]="N",Tabulka17101363036[[#This Row],[PP]]="N"),"N",IF(OR(Tabulka17101363036[[#This Row],[LP]]="D",Tabulka17101363036[[#This Row],[PP]]="D"),"D",IF(OR(Tabulka17101363036[[#This Row],[LP]]="NEÚČAST",Tabulka17101363036[[#This Row],[PP]]="NEÚČAST"),"NEÚČAST",IF(OR(Tabulka17101363036[[#This Row],[LP]]="",Tabulka17101363036[[#This Row],[PP]]=""),"",MAX(Tabulka17101363036[[#This Row],[LP]:[PP]])))))</f>
        <v>24.04</v>
      </c>
      <c r="T13" s="240">
        <f>COUNTIF(Tabulka17101363036[[#This Row],[Tým]],"*")</f>
        <v>1</v>
      </c>
      <c r="U13" s="46">
        <f>COUNTIF(Tabulka17101363036[[#This Row],[Výsledný čas]],"NEÚČAST")</f>
        <v>0</v>
      </c>
      <c r="V13" s="29">
        <f>IF(Tabulka17101363036[[#This Row],[Výsledný čas]]="N",998,IF(Tabulka17101363036[[#This Row],[Výsledný čas]]="D",998,IF(Tabulka17101363036[[#This Row],[Výsledný čas]]="","",Tabulka17101363036[[#This Row],[Výsledný čas]])))</f>
        <v>24.04</v>
      </c>
      <c r="Z13" s="31">
        <f>IF(OR(Tabulka3811142632[Výsledný čas]="N",Tabulka3811142632[Výsledný čas]="D",Tabulka3811142632[Výsledný čas]="NEÚČAST"),Uvod!$E$4,_xlfn.RANK.EQ(Tabulka3811142632[[#This Row],[ ]],Tabulka3811142632[[ ]],1))</f>
        <v>10</v>
      </c>
      <c r="AA13" s="51" t="s">
        <v>11</v>
      </c>
      <c r="AB13" s="44">
        <f>VLOOKUP(Tabulka3811142632[[#This Row],[Tým]],Tabulka1710132531[[Tým]:[ ]],2,FALSE)</f>
        <v>16.690000000000001</v>
      </c>
      <c r="AC13" s="44">
        <f>VLOOKUP(Tabulka3811142632[[#This Row],[Tým]],Tabulka1710132531[[Tým]:[ ]],3,FALSE)</f>
        <v>17.13</v>
      </c>
      <c r="AD13" s="25">
        <f>VLOOKUP(Tabulka3811142632[[#This Row],[Tým]],Tabulka1710132531[[Tým]:[ ]],4,FALSE)</f>
        <v>17.13</v>
      </c>
      <c r="AE13" s="25">
        <f>VLOOKUP(Tabulka3811142632[[#This Row],[Tým]],Tabulka1710132531[[Tým]:[ ]],7,FALSE)</f>
        <v>17.13</v>
      </c>
      <c r="AF13" s="29">
        <f>IF(Tabulka3811142632[[#This Row],[Výsledný čas]]="N",5,IF(Tabulka3811142632[[#This Row],[Výsledný čas]]="D",0,IF(Tabulka3811142632[[#This Row],[Výsledný čas]]="NEÚČAST",0,Tabulka4[[#Totals],[Týmy muži]]+6-Tabulka3811142632[[#This Row],[Umístění]])))</f>
        <v>15</v>
      </c>
      <c r="AH13" s="31">
        <f>_xlfn.RANK.EQ(Tabulka5912152733[[#This Row],[Body]],Tabulka5912152733[Body],0)</f>
        <v>10</v>
      </c>
      <c r="AI13" s="51" t="s">
        <v>6</v>
      </c>
      <c r="AJ13" s="188">
        <f>VLOOKUP(Tabulka5912152733[[#This Row],[Tým]],Tabulka3811142632[[Tým]:[Body]],6,FALSE)+Tabulka5912152733[[#This Row],[ ]]</f>
        <v>54</v>
      </c>
      <c r="AK13" s="75">
        <f>VLOOKUP(Tabulka5912152733[[#This Row],[Tým]],Tabulka59121527[[Tým]:[Body]],2,FALSE)</f>
        <v>41</v>
      </c>
      <c r="AL13" s="82">
        <f>Tabulka5912152733[[#This Row],[Umístění]]</f>
        <v>10</v>
      </c>
      <c r="AM13" s="15"/>
      <c r="AP13" s="1"/>
    </row>
    <row r="14" spans="1:42" ht="24.95" customHeight="1" x14ac:dyDescent="0.4">
      <c r="B14" s="6">
        <v>27</v>
      </c>
      <c r="C14" s="1">
        <f>IF(Tabulka1710132531[[#This Row],[ ]]="","",IF(Tabulka1710132531[[#This Row],[ ]]="NEÚČAST","",IF(OR(Tabulka1710132531[Výsledný čas]="N",Tabulka1710132531[Výsledný čas]="D"),$L$4-$L$5,_xlfn.RANK.EQ(Tabulka1710132531[[#This Row],[ ]],Tabulka1710132531[[ ]],1))))</f>
        <v>11</v>
      </c>
      <c r="D14" s="7" t="s">
        <v>13</v>
      </c>
      <c r="E14" s="8">
        <v>14.71</v>
      </c>
      <c r="F14" s="8">
        <v>15.97</v>
      </c>
      <c r="G14" s="237">
        <f>IF(OR(Tabulka1710132531[[#This Row],[LP]]="N",Tabulka1710132531[[#This Row],[PP]]="N"),"N",IF(OR(Tabulka1710132531[[#This Row],[LP]]="D",Tabulka1710132531[[#This Row],[PP]]="D"),"D",IF(OR(Tabulka1710132531[[#This Row],[LP]]="NEÚČAST",Tabulka1710132531[[#This Row],[PP]]="NEÚČAST"),"NEÚČAST",IF(OR(Tabulka1710132531[[#This Row],[LP]]="",Tabulka1710132531[[#This Row],[PP]]=""),"",MAX(Tabulka1710132531[[#This Row],[LP]:[PP]])))))</f>
        <v>15.97</v>
      </c>
      <c r="H14" s="1">
        <f>COUNTIF(Tabulka1710132531[[#This Row],[Tým]],"*")</f>
        <v>1</v>
      </c>
      <c r="I14" s="1">
        <f>COUNTIF(Tabulka1710132531[[#This Row],[Výsledný čas]],"NEÚČAST")</f>
        <v>0</v>
      </c>
      <c r="J14" s="1">
        <f>IF(Tabulka1710132531[[#This Row],[Výsledný čas]]="N",998,IF(Tabulka1710132531[[#This Row],[Výsledný čas]]="D",998,IF(Tabulka1710132531[[#This Row],[Výsledný čas]]="","",Tabulka1710132531[[#This Row],[Výsledný čas]])))</f>
        <v>15.97</v>
      </c>
      <c r="N14" s="30">
        <v>40</v>
      </c>
      <c r="O14" s="25">
        <f>IF(Tabulka17101363036[[#This Row],[ ]]="","",IF(Tabulka17101363036[[#This Row],[ ]]="NEÚČAST","",IF(OR(Tabulka17101363036[Výsledný čas]="N",Tabulka17101363036[Výsledný čas]="D"),$X$4-$X$5,_xlfn.RANK.EQ(Tabulka17101363036[[#This Row],[ ]],Tabulka17101363036[[ ]],1))))</f>
        <v>11</v>
      </c>
      <c r="P14" s="26" t="s">
        <v>118</v>
      </c>
      <c r="Q14" s="5">
        <v>30.13</v>
      </c>
      <c r="R14" s="5">
        <v>37</v>
      </c>
      <c r="S14" s="234">
        <f>IF(OR(Tabulka17101363036[[#This Row],[LP]]="N",Tabulka17101363036[[#This Row],[PP]]="N"),"N",IF(OR(Tabulka17101363036[[#This Row],[LP]]="D",Tabulka17101363036[[#This Row],[PP]]="D"),"D",IF(OR(Tabulka17101363036[[#This Row],[LP]]="NEÚČAST",Tabulka17101363036[[#This Row],[PP]]="NEÚČAST"),"NEÚČAST",IF(OR(Tabulka17101363036[[#This Row],[LP]]="",Tabulka17101363036[[#This Row],[PP]]=""),"",MAX(Tabulka17101363036[[#This Row],[LP]:[PP]])))))</f>
        <v>37</v>
      </c>
      <c r="T14" s="240">
        <f>COUNTIF(Tabulka17101363036[[#This Row],[Tým]],"*")</f>
        <v>1</v>
      </c>
      <c r="U14" s="46">
        <f>COUNTIF(Tabulka17101363036[[#This Row],[Výsledný čas]],"NEÚČAST")</f>
        <v>0</v>
      </c>
      <c r="V14" s="29">
        <f>IF(Tabulka17101363036[[#This Row],[Výsledný čas]]="N",998,IF(Tabulka17101363036[[#This Row],[Výsledný čas]]="D",998,IF(Tabulka17101363036[[#This Row],[Výsledný čas]]="","",Tabulka17101363036[[#This Row],[Výsledný čas]])))</f>
        <v>37</v>
      </c>
      <c r="Z14" s="31">
        <f>IF(OR(Tabulka3811142632[Výsledný čas]="N",Tabulka3811142632[Výsledný čas]="D",Tabulka3811142632[Výsledný čas]="NEÚČAST"),Uvod!$E$4,_xlfn.RANK.EQ(Tabulka3811142632[[#This Row],[ ]],Tabulka3811142632[[ ]],1))</f>
        <v>11</v>
      </c>
      <c r="AA14" s="97" t="s">
        <v>33</v>
      </c>
      <c r="AB14" s="44">
        <f>VLOOKUP(Tabulka3811142632[[#This Row],[Tým]],Tabulka1710132531[[Tým]:[ ]],2,FALSE)</f>
        <v>17</v>
      </c>
      <c r="AC14" s="44">
        <f>VLOOKUP(Tabulka3811142632[[#This Row],[Tým]],Tabulka1710132531[[Tým]:[ ]],3,FALSE)</f>
        <v>17.260000000000002</v>
      </c>
      <c r="AD14" s="25">
        <f>VLOOKUP(Tabulka3811142632[[#This Row],[Tým]],Tabulka1710132531[[Tým]:[ ]],4,FALSE)</f>
        <v>17.260000000000002</v>
      </c>
      <c r="AE14" s="25">
        <f>VLOOKUP(Tabulka3811142632[[#This Row],[Tým]],Tabulka1710132531[[Tým]:[ ]],7,FALSE)</f>
        <v>17.260000000000002</v>
      </c>
      <c r="AF14" s="29">
        <f>IF(Tabulka3811142632[[#This Row],[Výsledný čas]]="N",5,IF(Tabulka3811142632[[#This Row],[Výsledný čas]]="D",0,IF(Tabulka3811142632[[#This Row],[Výsledný čas]]="NEÚČAST",0,Tabulka4[[#Totals],[Týmy muži]]+6-Tabulka3811142632[[#This Row],[Umístění]])))</f>
        <v>14</v>
      </c>
      <c r="AH14" s="31">
        <f>_xlfn.RANK.EQ(Tabulka5912152733[[#This Row],[Body]],Tabulka5912152733[Body],0)</f>
        <v>11</v>
      </c>
      <c r="AI14" s="51" t="s">
        <v>25</v>
      </c>
      <c r="AJ14" s="188">
        <f>VLOOKUP(Tabulka5912152733[[#This Row],[Tým]],Tabulka3811142632[[Tým]:[Body]],6,FALSE)+Tabulka5912152733[[#This Row],[ ]]</f>
        <v>53</v>
      </c>
      <c r="AK14" s="75">
        <f>VLOOKUP(Tabulka5912152733[[#This Row],[Tým]],Tabulka59121527[[Tým]:[Body]],2,FALSE)</f>
        <v>37</v>
      </c>
      <c r="AL14" s="82">
        <f>Tabulka5912152733[[#This Row],[Umístění]]</f>
        <v>11</v>
      </c>
      <c r="AM14" s="15"/>
      <c r="AP14" s="1"/>
    </row>
    <row r="15" spans="1:42" ht="24.95" customHeight="1" x14ac:dyDescent="0.4">
      <c r="B15" s="6">
        <v>4</v>
      </c>
      <c r="C15" s="1">
        <f>IF(Tabulka1710132531[[#This Row],[ ]]="","",IF(Tabulka1710132531[[#This Row],[ ]]="NEÚČAST","",IF(OR(Tabulka1710132531[Výsledný čas]="N",Tabulka1710132531[Výsledný čas]="D"),$L$4-$L$5,_xlfn.RANK.EQ(Tabulka1710132531[[#This Row],[ ]],Tabulka1710132531[[ ]],1))))</f>
        <v>12</v>
      </c>
      <c r="D15" s="7" t="s">
        <v>94</v>
      </c>
      <c r="E15" s="8">
        <v>16.079999999999998</v>
      </c>
      <c r="F15" s="8">
        <v>14.47</v>
      </c>
      <c r="G15" s="237">
        <f>IF(OR(Tabulka1710132531[[#This Row],[LP]]="N",Tabulka1710132531[[#This Row],[PP]]="N"),"N",IF(OR(Tabulka1710132531[[#This Row],[LP]]="D",Tabulka1710132531[[#This Row],[PP]]="D"),"D",IF(OR(Tabulka1710132531[[#This Row],[LP]]="NEÚČAST",Tabulka1710132531[[#This Row],[PP]]="NEÚČAST"),"NEÚČAST",IF(OR(Tabulka1710132531[[#This Row],[LP]]="",Tabulka1710132531[[#This Row],[PP]]=""),"",MAX(Tabulka1710132531[[#This Row],[LP]:[PP]])))))</f>
        <v>16.079999999999998</v>
      </c>
      <c r="H15" s="1">
        <f>COUNTIF(Tabulka1710132531[[#This Row],[Tým]],"*")</f>
        <v>1</v>
      </c>
      <c r="I15" s="1">
        <f>COUNTIF(Tabulka1710132531[[#This Row],[Výsledný čas]],"NEÚČAST")</f>
        <v>0</v>
      </c>
      <c r="J15" s="1">
        <f>IF(Tabulka1710132531[[#This Row],[Výsledný čas]]="N",998,IF(Tabulka1710132531[[#This Row],[Výsledný čas]]="D",998,IF(Tabulka1710132531[[#This Row],[Výsledný čas]]="","",Tabulka1710132531[[#This Row],[Výsledný čas]])))</f>
        <v>16.079999999999998</v>
      </c>
      <c r="N15" s="30">
        <v>38</v>
      </c>
      <c r="O15" s="25">
        <f>IF(Tabulka17101363036[[#This Row],[ ]]="","",IF(Tabulka17101363036[[#This Row],[ ]]="NEÚČAST","",IF(OR(Tabulka17101363036[Výsledný čas]="N",Tabulka17101363036[Výsledný čas]="D"),$X$4-$X$5,_xlfn.RANK.EQ(Tabulka17101363036[[#This Row],[ ]],Tabulka17101363036[[ ]],1))))</f>
        <v>12</v>
      </c>
      <c r="P15" s="26" t="s">
        <v>95</v>
      </c>
      <c r="Q15" s="5">
        <v>41.42</v>
      </c>
      <c r="R15" s="5">
        <v>41.03</v>
      </c>
      <c r="S15" s="234">
        <f>IF(OR(Tabulka17101363036[[#This Row],[LP]]="N",Tabulka17101363036[[#This Row],[PP]]="N"),"N",IF(OR(Tabulka17101363036[[#This Row],[LP]]="D",Tabulka17101363036[[#This Row],[PP]]="D"),"D",IF(OR(Tabulka17101363036[[#This Row],[LP]]="NEÚČAST",Tabulka17101363036[[#This Row],[PP]]="NEÚČAST"),"NEÚČAST",IF(OR(Tabulka17101363036[[#This Row],[LP]]="",Tabulka17101363036[[#This Row],[PP]]=""),"",MAX(Tabulka17101363036[[#This Row],[LP]:[PP]])))))</f>
        <v>41.42</v>
      </c>
      <c r="T15" s="240">
        <f>COUNTIF(Tabulka17101363036[[#This Row],[Tým]],"*")</f>
        <v>1</v>
      </c>
      <c r="U15" s="46">
        <f>COUNTIF(Tabulka17101363036[[#This Row],[Výsledný čas]],"NEÚČAST")</f>
        <v>0</v>
      </c>
      <c r="V15" s="29">
        <f>IF(Tabulka17101363036[[#This Row],[Výsledný čas]]="N",998,IF(Tabulka17101363036[[#This Row],[Výsledný čas]]="D",998,IF(Tabulka17101363036[[#This Row],[Výsledný čas]]="","",Tabulka17101363036[[#This Row],[Výsledný čas]])))</f>
        <v>41.42</v>
      </c>
      <c r="Z15" s="31">
        <f>IF(OR(Tabulka3811142632[Výsledný čas]="N",Tabulka3811142632[Výsledný čas]="D",Tabulka3811142632[Výsledný čas]="NEÚČAST"),Uvod!$E$4,_xlfn.RANK.EQ(Tabulka3811142632[[#This Row],[ ]],Tabulka3811142632[[ ]],1))</f>
        <v>12</v>
      </c>
      <c r="AA15" s="51" t="s">
        <v>6</v>
      </c>
      <c r="AB15" s="44">
        <f>VLOOKUP(Tabulka3811142632[[#This Row],[Tým]],Tabulka1710132531[[Tým]:[ ]],2,FALSE)</f>
        <v>16.91</v>
      </c>
      <c r="AC15" s="44">
        <f>VLOOKUP(Tabulka3811142632[[#This Row],[Tým]],Tabulka1710132531[[Tým]:[ ]],3,FALSE)</f>
        <v>17.53</v>
      </c>
      <c r="AD15" s="25">
        <f>VLOOKUP(Tabulka3811142632[[#This Row],[Tým]],Tabulka1710132531[[Tým]:[ ]],4,FALSE)</f>
        <v>17.53</v>
      </c>
      <c r="AE15" s="25">
        <f>VLOOKUP(Tabulka3811142632[[#This Row],[Tým]],Tabulka1710132531[[Tým]:[ ]],7,FALSE)</f>
        <v>17.53</v>
      </c>
      <c r="AF15" s="29">
        <f>IF(Tabulka3811142632[[#This Row],[Výsledný čas]]="N",5,IF(Tabulka3811142632[[#This Row],[Výsledný čas]]="D",0,IF(Tabulka3811142632[[#This Row],[Výsledný čas]]="NEÚČAST",0,Tabulka4[[#Totals],[Týmy muži]]+6-Tabulka3811142632[[#This Row],[Umístění]])))</f>
        <v>13</v>
      </c>
      <c r="AH15" s="31">
        <f>_xlfn.RANK.EQ(Tabulka5912152733[[#This Row],[Body]],Tabulka5912152733[Body],0)</f>
        <v>12</v>
      </c>
      <c r="AI15" s="51" t="s">
        <v>32</v>
      </c>
      <c r="AJ15" s="188">
        <f>VLOOKUP(Tabulka5912152733[[#This Row],[Tým]],Tabulka3811142632[[Tým]:[Body]],6,FALSE)+Tabulka5912152733[[#This Row],[ ]]</f>
        <v>52</v>
      </c>
      <c r="AK15" s="75">
        <f>VLOOKUP(Tabulka5912152733[[#This Row],[Tým]],Tabulka59121527[[Tým]:[Body]],2,FALSE)</f>
        <v>47</v>
      </c>
      <c r="AL15" s="82">
        <f>Tabulka5912152733[[#This Row],[Umístění]]</f>
        <v>12</v>
      </c>
      <c r="AM15" s="15"/>
      <c r="AP15" s="1"/>
    </row>
    <row r="16" spans="1:42" ht="24.95" customHeight="1" x14ac:dyDescent="0.4">
      <c r="B16" s="11">
        <v>31</v>
      </c>
      <c r="C16" s="1">
        <f>IF(Tabulka1710132531[[#This Row],[ ]]="","",IF(Tabulka1710132531[[#This Row],[ ]]="NEÚČAST","",IF(OR(Tabulka1710132531[Výsledný čas]="N",Tabulka1710132531[Výsledný čas]="D"),$L$4-$L$5,_xlfn.RANK.EQ(Tabulka1710132531[[#This Row],[ ]],Tabulka1710132531[[ ]],1))))</f>
        <v>13</v>
      </c>
      <c r="D16" s="7" t="s">
        <v>30</v>
      </c>
      <c r="E16" s="8">
        <v>16.29</v>
      </c>
      <c r="F16" s="8">
        <v>15.32</v>
      </c>
      <c r="G16" s="237">
        <f>IF(OR(Tabulka1710132531[[#This Row],[LP]]="N",Tabulka1710132531[[#This Row],[PP]]="N"),"N",IF(OR(Tabulka1710132531[[#This Row],[LP]]="D",Tabulka1710132531[[#This Row],[PP]]="D"),"D",IF(OR(Tabulka1710132531[[#This Row],[LP]]="NEÚČAST",Tabulka1710132531[[#This Row],[PP]]="NEÚČAST"),"NEÚČAST",IF(OR(Tabulka1710132531[[#This Row],[LP]]="",Tabulka1710132531[[#This Row],[PP]]=""),"",MAX(Tabulka1710132531[[#This Row],[LP]:[PP]])))))</f>
        <v>16.29</v>
      </c>
      <c r="H16" s="1">
        <f>COUNTIF(Tabulka1710132531[[#This Row],[Tým]],"*")</f>
        <v>1</v>
      </c>
      <c r="I16" s="1">
        <f>COUNTIF(Tabulka1710132531[[#This Row],[Výsledný čas]],"NEÚČAST")</f>
        <v>0</v>
      </c>
      <c r="J16" s="1">
        <f>IF(Tabulka1710132531[[#This Row],[Výsledný čas]]="N",998,IF(Tabulka1710132531[[#This Row],[Výsledný čas]]="D",998,IF(Tabulka1710132531[[#This Row],[Výsledný čas]]="","",Tabulka1710132531[[#This Row],[Výsledný čas]])))</f>
        <v>16.29</v>
      </c>
      <c r="N16" s="32">
        <v>14</v>
      </c>
      <c r="O16" s="25">
        <f>IF(Tabulka17101363036[[#This Row],[ ]]="","",IF(Tabulka17101363036[[#This Row],[ ]]="NEÚČAST","",IF(OR(Tabulka17101363036[Výsledný čas]="N",Tabulka17101363036[Výsledný čas]="D"),$X$4-$X$5,_xlfn.RANK.EQ(Tabulka17101363036[[#This Row],[ ]],Tabulka17101363036[[ ]],1))))</f>
        <v>13</v>
      </c>
      <c r="P16" s="26" t="s">
        <v>24</v>
      </c>
      <c r="Q16" s="5">
        <v>41.61</v>
      </c>
      <c r="R16" s="5">
        <v>41.85</v>
      </c>
      <c r="S16" s="234">
        <f>IF(OR(Tabulka17101363036[[#This Row],[LP]]="N",Tabulka17101363036[[#This Row],[PP]]="N"),"N",IF(OR(Tabulka17101363036[[#This Row],[LP]]="D",Tabulka17101363036[[#This Row],[PP]]="D"),"D",IF(OR(Tabulka17101363036[[#This Row],[LP]]="NEÚČAST",Tabulka17101363036[[#This Row],[PP]]="NEÚČAST"),"NEÚČAST",IF(OR(Tabulka17101363036[[#This Row],[LP]]="",Tabulka17101363036[[#This Row],[PP]]=""),"",MAX(Tabulka17101363036[[#This Row],[LP]:[PP]])))))</f>
        <v>41.85</v>
      </c>
      <c r="T16" s="240">
        <f>COUNTIF(Tabulka17101363036[[#This Row],[Tým]],"*")</f>
        <v>1</v>
      </c>
      <c r="U16" s="46">
        <f>COUNTIF(Tabulka17101363036[[#This Row],[Výsledný čas]],"NEÚČAST")</f>
        <v>0</v>
      </c>
      <c r="V16" s="29">
        <f>IF(Tabulka17101363036[[#This Row],[Výsledný čas]]="N",998,IF(Tabulka17101363036[[#This Row],[Výsledný čas]]="D",998,IF(Tabulka17101363036[[#This Row],[Výsledný čas]]="","",Tabulka17101363036[[#This Row],[Výsledný čas]])))</f>
        <v>41.85</v>
      </c>
      <c r="Z16" s="31">
        <f>IF(OR(Tabulka3811142632[Výsledný čas]="N",Tabulka3811142632[Výsledný čas]="D",Tabulka3811142632[Výsledný čas]="NEÚČAST"),Uvod!$E$4,_xlfn.RANK.EQ(Tabulka3811142632[[#This Row],[ ]],Tabulka3811142632[[ ]],1))</f>
        <v>13</v>
      </c>
      <c r="AA16" s="51" t="s">
        <v>16</v>
      </c>
      <c r="AB16" s="44">
        <f>VLOOKUP(Tabulka3811142632[[#This Row],[Tým]],Tabulka1710132531[[Tým]:[ ]],2,FALSE)</f>
        <v>18.18</v>
      </c>
      <c r="AC16" s="44">
        <f>VLOOKUP(Tabulka3811142632[[#This Row],[Tým]],Tabulka1710132531[[Tým]:[ ]],3,FALSE)</f>
        <v>17.96</v>
      </c>
      <c r="AD16" s="25">
        <f>VLOOKUP(Tabulka3811142632[[#This Row],[Tým]],Tabulka1710132531[[Tým]:[ ]],4,FALSE)</f>
        <v>18.18</v>
      </c>
      <c r="AE16" s="25">
        <f>VLOOKUP(Tabulka3811142632[[#This Row],[Tým]],Tabulka1710132531[[Tým]:[ ]],7,FALSE)</f>
        <v>18.18</v>
      </c>
      <c r="AF16" s="29">
        <f>IF(Tabulka3811142632[[#This Row],[Výsledný čas]]="N",5,IF(Tabulka3811142632[[#This Row],[Výsledný čas]]="D",0,IF(Tabulka3811142632[[#This Row],[Výsledný čas]]="NEÚČAST",0,Tabulka4[[#Totals],[Týmy muži]]+6-Tabulka3811142632[[#This Row],[Umístění]])))</f>
        <v>12</v>
      </c>
      <c r="AH16" s="31">
        <f>_xlfn.RANK.EQ(Tabulka5912152733[[#This Row],[Body]],Tabulka5912152733[Body],0)</f>
        <v>12</v>
      </c>
      <c r="AI16" s="51" t="s">
        <v>14</v>
      </c>
      <c r="AJ16" s="188">
        <f>VLOOKUP(Tabulka5912152733[[#This Row],[Tým]],Tabulka3811142632[[Tým]:[Body]],6,FALSE)+Tabulka5912152733[[#This Row],[ ]]</f>
        <v>52</v>
      </c>
      <c r="AK16" s="75">
        <f>VLOOKUP(Tabulka5912152733[[#This Row],[Tým]],Tabulka59121527[[Tým]:[Body]],2,FALSE)</f>
        <v>35</v>
      </c>
      <c r="AL16" s="82">
        <f>Tabulka5912152733[[#This Row],[Umístění]]</f>
        <v>12</v>
      </c>
      <c r="AM16" s="15"/>
      <c r="AP16" s="1"/>
    </row>
    <row r="17" spans="2:42" ht="24.95" customHeight="1" x14ac:dyDescent="0.4">
      <c r="B17" s="6">
        <v>19</v>
      </c>
      <c r="C17" s="1">
        <f>IF(Tabulka1710132531[[#This Row],[ ]]="","",IF(Tabulka1710132531[[#This Row],[ ]]="NEÚČAST","",IF(OR(Tabulka1710132531[Výsledný čas]="N",Tabulka1710132531[Výsledný čas]="D"),$L$4-$L$5,_xlfn.RANK.EQ(Tabulka1710132531[[#This Row],[ ]],Tabulka1710132531[[ ]],1))))</f>
        <v>14</v>
      </c>
      <c r="D17" s="12" t="s">
        <v>14</v>
      </c>
      <c r="E17" s="8">
        <v>15.77</v>
      </c>
      <c r="F17" s="8">
        <v>16.32</v>
      </c>
      <c r="G17" s="237">
        <f>IF(OR(Tabulka1710132531[[#This Row],[LP]]="N",Tabulka1710132531[[#This Row],[PP]]="N"),"N",IF(OR(Tabulka1710132531[[#This Row],[LP]]="D",Tabulka1710132531[[#This Row],[PP]]="D"),"D",IF(OR(Tabulka1710132531[[#This Row],[LP]]="NEÚČAST",Tabulka1710132531[[#This Row],[PP]]="NEÚČAST"),"NEÚČAST",IF(OR(Tabulka1710132531[[#This Row],[LP]]="",Tabulka1710132531[[#This Row],[PP]]=""),"",MAX(Tabulka1710132531[[#This Row],[LP]:[PP]])))))</f>
        <v>16.32</v>
      </c>
      <c r="H17" s="1">
        <f>COUNTIF(Tabulka1710132531[[#This Row],[Tým]],"*")</f>
        <v>1</v>
      </c>
      <c r="I17" s="1">
        <f>COUNTIF(Tabulka1710132531[[#This Row],[Výsledný čas]],"NEÚČAST")</f>
        <v>0</v>
      </c>
      <c r="J17" s="1">
        <f>IF(Tabulka1710132531[[#This Row],[Výsledný čas]]="N",998,IF(Tabulka1710132531[[#This Row],[Výsledný čas]]="D",998,IF(Tabulka1710132531[[#This Row],[Výsledný čas]]="","",Tabulka1710132531[[#This Row],[Výsledný čas]])))</f>
        <v>16.32</v>
      </c>
      <c r="N17" s="31">
        <v>17</v>
      </c>
      <c r="O17" s="25">
        <f>IF(Tabulka17101363036[[#This Row],[ ]]="","",IF(Tabulka17101363036[[#This Row],[ ]]="NEÚČAST","",IF(OR(Tabulka17101363036[Výsledný čas]="N",Tabulka17101363036[Výsledný čas]="D"),$X$4-$X$5,_xlfn.RANK.EQ(Tabulka17101363036[[#This Row],[ ]],Tabulka17101363036[[ ]],1))))</f>
        <v>16</v>
      </c>
      <c r="P17" s="26" t="s">
        <v>15</v>
      </c>
      <c r="Q17" s="5" t="s">
        <v>9</v>
      </c>
      <c r="R17" s="5" t="s">
        <v>9</v>
      </c>
      <c r="S17" s="234" t="str">
        <f>IF(OR(Tabulka17101363036[[#This Row],[LP]]="N",Tabulka17101363036[[#This Row],[PP]]="N"),"N",IF(OR(Tabulka17101363036[[#This Row],[LP]]="D",Tabulka17101363036[[#This Row],[PP]]="D"),"D",IF(OR(Tabulka17101363036[[#This Row],[LP]]="NEÚČAST",Tabulka17101363036[[#This Row],[PP]]="NEÚČAST"),"NEÚČAST",IF(OR(Tabulka17101363036[[#This Row],[LP]]="",Tabulka17101363036[[#This Row],[PP]]=""),"",MAX(Tabulka17101363036[[#This Row],[LP]:[PP]])))))</f>
        <v>N</v>
      </c>
      <c r="T17" s="240">
        <f>COUNTIF(Tabulka17101363036[[#This Row],[Tým]],"*")</f>
        <v>1</v>
      </c>
      <c r="U17" s="46">
        <f>COUNTIF(Tabulka17101363036[[#This Row],[Výsledný čas]],"NEÚČAST")</f>
        <v>0</v>
      </c>
      <c r="V17" s="29">
        <f>IF(Tabulka17101363036[[#This Row],[Výsledný čas]]="N",998,IF(Tabulka17101363036[[#This Row],[Výsledný čas]]="D",998,IF(Tabulka17101363036[[#This Row],[Výsledný čas]]="","",Tabulka17101363036[[#This Row],[Výsledný čas]])))</f>
        <v>998</v>
      </c>
      <c r="Z17" s="31">
        <f>IF(OR(Tabulka3811142632[Výsledný čas]="N",Tabulka3811142632[Výsledný čas]="D",Tabulka3811142632[Výsledný čas]="NEÚČAST"),Uvod!$E$4,_xlfn.RANK.EQ(Tabulka3811142632[[#This Row],[ ]],Tabulka3811142632[[ ]],1))</f>
        <v>14</v>
      </c>
      <c r="AA17" s="51" t="s">
        <v>18</v>
      </c>
      <c r="AB17" s="44">
        <f>VLOOKUP(Tabulka3811142632[[#This Row],[Tým]],Tabulka1710132531[[Tým]:[ ]],2,FALSE)</f>
        <v>19.329999999999998</v>
      </c>
      <c r="AC17" s="44">
        <f>VLOOKUP(Tabulka3811142632[[#This Row],[Tým]],Tabulka1710132531[[Tým]:[ ]],3,FALSE)</f>
        <v>19.64</v>
      </c>
      <c r="AD17" s="25">
        <f>VLOOKUP(Tabulka3811142632[[#This Row],[Tým]],Tabulka1710132531[[Tým]:[ ]],4,FALSE)</f>
        <v>19.64</v>
      </c>
      <c r="AE17" s="25">
        <f>VLOOKUP(Tabulka3811142632[[#This Row],[Tým]],Tabulka1710132531[[Tým]:[ ]],7,FALSE)</f>
        <v>19.64</v>
      </c>
      <c r="AF17" s="29">
        <f>IF(Tabulka3811142632[[#This Row],[Výsledný čas]]="N",5,IF(Tabulka3811142632[[#This Row],[Výsledný čas]]="D",0,IF(Tabulka3811142632[[#This Row],[Výsledný čas]]="NEÚČAST",0,Tabulka4[[#Totals],[Týmy muži]]+6-Tabulka3811142632[[#This Row],[Umístění]])))</f>
        <v>11</v>
      </c>
      <c r="AH17" s="31">
        <f>_xlfn.RANK.EQ(Tabulka5912152733[[#This Row],[Body]],Tabulka5912152733[Body],0)</f>
        <v>12</v>
      </c>
      <c r="AI17" s="97" t="s">
        <v>13</v>
      </c>
      <c r="AJ17" s="188">
        <f>VLOOKUP(Tabulka5912152733[[#This Row],[Tým]],Tabulka3811142632[[Tým]:[Body]],6,FALSE)+Tabulka5912152733[[#This Row],[ ]]</f>
        <v>52</v>
      </c>
      <c r="AK17" s="75">
        <f>VLOOKUP(Tabulka5912152733[[#This Row],[Tým]],Tabulka59121527[[Tým]:[Body]],2,FALSE)</f>
        <v>33</v>
      </c>
      <c r="AL17" s="82">
        <f>Tabulka5912152733[[#This Row],[Umístění]]</f>
        <v>12</v>
      </c>
      <c r="AM17" s="15"/>
      <c r="AP17" s="1"/>
    </row>
    <row r="18" spans="2:42" ht="24.95" customHeight="1" x14ac:dyDescent="0.4">
      <c r="B18" s="11">
        <v>33</v>
      </c>
      <c r="C18" s="1">
        <f>IF(Tabulka1710132531[[#This Row],[ ]]="","",IF(Tabulka1710132531[[#This Row],[ ]]="NEÚČAST","",IF(OR(Tabulka1710132531[Výsledný čas]="N",Tabulka1710132531[Výsledný čas]="D"),$L$4-$L$5,_xlfn.RANK.EQ(Tabulka1710132531[[#This Row],[ ]],Tabulka1710132531[[ ]],1))))</f>
        <v>14</v>
      </c>
      <c r="D18" s="12" t="s">
        <v>114</v>
      </c>
      <c r="E18" s="8">
        <v>16.239999999999998</v>
      </c>
      <c r="F18" s="8">
        <v>16.32</v>
      </c>
      <c r="G18" s="237">
        <f>IF(OR(Tabulka1710132531[[#This Row],[LP]]="N",Tabulka1710132531[[#This Row],[PP]]="N"),"N",IF(OR(Tabulka1710132531[[#This Row],[LP]]="D",Tabulka1710132531[[#This Row],[PP]]="D"),"D",IF(OR(Tabulka1710132531[[#This Row],[LP]]="NEÚČAST",Tabulka1710132531[[#This Row],[PP]]="NEÚČAST"),"NEÚČAST",IF(OR(Tabulka1710132531[[#This Row],[LP]]="",Tabulka1710132531[[#This Row],[PP]]=""),"",MAX(Tabulka1710132531[[#This Row],[LP]:[PP]])))))</f>
        <v>16.32</v>
      </c>
      <c r="H18" s="1">
        <f>COUNTIF(Tabulka1710132531[[#This Row],[Tým]],"*")</f>
        <v>1</v>
      </c>
      <c r="I18" s="1">
        <f>COUNTIF(Tabulka1710132531[[#This Row],[Výsledný čas]],"NEÚČAST")</f>
        <v>0</v>
      </c>
      <c r="J18" s="1">
        <f>IF(Tabulka1710132531[[#This Row],[Výsledný čas]]="N",998,IF(Tabulka1710132531[[#This Row],[Výsledný čas]]="D",998,IF(Tabulka1710132531[[#This Row],[Výsledný čas]]="","",Tabulka1710132531[[#This Row],[Výsledný čas]])))</f>
        <v>16.32</v>
      </c>
      <c r="N18" s="31">
        <v>23</v>
      </c>
      <c r="O18" s="25">
        <f>IF(Tabulka17101363036[[#This Row],[ ]]="","",IF(Tabulka17101363036[[#This Row],[ ]]="NEÚČAST","",IF(OR(Tabulka17101363036[Výsledný čas]="N",Tabulka17101363036[Výsledný čas]="D"),$X$4-$X$5,_xlfn.RANK.EQ(Tabulka17101363036[[#This Row],[ ]],Tabulka17101363036[[ ]],1))))</f>
        <v>16</v>
      </c>
      <c r="P18" s="26" t="s">
        <v>21</v>
      </c>
      <c r="Q18" s="5" t="s">
        <v>9</v>
      </c>
      <c r="R18" s="5">
        <v>21.73</v>
      </c>
      <c r="S18" s="234" t="str">
        <f>IF(OR(Tabulka17101363036[[#This Row],[LP]]="N",Tabulka17101363036[[#This Row],[PP]]="N"),"N",IF(OR(Tabulka17101363036[[#This Row],[LP]]="D",Tabulka17101363036[[#This Row],[PP]]="D"),"D",IF(OR(Tabulka17101363036[[#This Row],[LP]]="NEÚČAST",Tabulka17101363036[[#This Row],[PP]]="NEÚČAST"),"NEÚČAST",IF(OR(Tabulka17101363036[[#This Row],[LP]]="",Tabulka17101363036[[#This Row],[PP]]=""),"",MAX(Tabulka17101363036[[#This Row],[LP]:[PP]])))))</f>
        <v>N</v>
      </c>
      <c r="T18" s="240">
        <f>COUNTIF(Tabulka17101363036[[#This Row],[Tým]],"*")</f>
        <v>1</v>
      </c>
      <c r="U18" s="46">
        <f>COUNTIF(Tabulka17101363036[[#This Row],[Výsledný čas]],"NEÚČAST")</f>
        <v>0</v>
      </c>
      <c r="V18" s="29">
        <f>IF(Tabulka17101363036[[#This Row],[Výsledný čas]]="N",998,IF(Tabulka17101363036[[#This Row],[Výsledný čas]]="D",998,IF(Tabulka17101363036[[#This Row],[Výsledný čas]]="","",Tabulka17101363036[[#This Row],[Výsledný čas]])))</f>
        <v>998</v>
      </c>
      <c r="Z18" s="31">
        <f>IF(OR(Tabulka3811142632[Výsledný čas]="N",Tabulka3811142632[Výsledný čas]="D",Tabulka3811142632[Výsledný čas]="NEÚČAST"),Uvod!$E$4,_xlfn.RANK.EQ(Tabulka3811142632[[#This Row],[ ]],Tabulka3811142632[[ ]],1))</f>
        <v>15</v>
      </c>
      <c r="AA18" s="51" t="s">
        <v>15</v>
      </c>
      <c r="AB18" s="44">
        <f>VLOOKUP(Tabulka3811142632[[#This Row],[Tým]],Tabulka1710132531[[Tým]:[ ]],2,FALSE)</f>
        <v>22.42</v>
      </c>
      <c r="AC18" s="44">
        <f>VLOOKUP(Tabulka3811142632[[#This Row],[Tým]],Tabulka1710132531[[Tým]:[ ]],3,FALSE)</f>
        <v>17.36</v>
      </c>
      <c r="AD18" s="25">
        <f>VLOOKUP(Tabulka3811142632[[#This Row],[Tým]],Tabulka1710132531[[Tým]:[ ]],4,FALSE)</f>
        <v>22.42</v>
      </c>
      <c r="AE18" s="25">
        <f>VLOOKUP(Tabulka3811142632[[#This Row],[Tým]],Tabulka1710132531[[Tým]:[ ]],7,FALSE)</f>
        <v>22.42</v>
      </c>
      <c r="AF18" s="29">
        <f>IF(Tabulka3811142632[[#This Row],[Výsledný čas]]="N",5,IF(Tabulka3811142632[[#This Row],[Výsledný čas]]="D",0,IF(Tabulka3811142632[[#This Row],[Výsledný čas]]="NEÚČAST",0,Tabulka4[[#Totals],[Týmy muži]]+6-Tabulka3811142632[[#This Row],[Umístění]])))</f>
        <v>10</v>
      </c>
      <c r="AH18" s="31">
        <f>_xlfn.RANK.EQ(Tabulka5912152733[[#This Row],[Body]],Tabulka5912152733[Body],0)</f>
        <v>15</v>
      </c>
      <c r="AI18" s="51" t="s">
        <v>18</v>
      </c>
      <c r="AJ18" s="188">
        <f>VLOOKUP(Tabulka5912152733[[#This Row],[Tým]],Tabulka3811142632[[Tým]:[Body]],6,FALSE)+Tabulka5912152733[[#This Row],[ ]]</f>
        <v>49</v>
      </c>
      <c r="AK18" s="75">
        <f>VLOOKUP(Tabulka5912152733[[#This Row],[Tým]],Tabulka59121527[[Tým]:[Body]],2,FALSE)</f>
        <v>38</v>
      </c>
      <c r="AL18" s="82">
        <f>Tabulka5912152733[[#This Row],[Umístění]]</f>
        <v>15</v>
      </c>
      <c r="AM18" s="15"/>
      <c r="AP18" s="1"/>
    </row>
    <row r="19" spans="2:42" ht="24.95" customHeight="1" thickBot="1" x14ac:dyDescent="0.45">
      <c r="B19" s="6">
        <v>20</v>
      </c>
      <c r="C19" s="1">
        <f>IF(Tabulka1710132531[[#This Row],[ ]]="","",IF(Tabulka1710132531[[#This Row],[ ]]="NEÚČAST","",IF(OR(Tabulka1710132531[Výsledný čas]="N",Tabulka1710132531[Výsledný čas]="D"),$L$4-$L$5,_xlfn.RANK.EQ(Tabulka1710132531[[#This Row],[ ]],Tabulka1710132531[[ ]],1))))</f>
        <v>16</v>
      </c>
      <c r="D19" s="7" t="s">
        <v>25</v>
      </c>
      <c r="E19" s="8">
        <v>16.95</v>
      </c>
      <c r="F19" s="8">
        <v>16.28</v>
      </c>
      <c r="G19" s="237">
        <f>IF(OR(Tabulka1710132531[[#This Row],[LP]]="N",Tabulka1710132531[[#This Row],[PP]]="N"),"N",IF(OR(Tabulka1710132531[[#This Row],[LP]]="D",Tabulka1710132531[[#This Row],[PP]]="D"),"D",IF(OR(Tabulka1710132531[[#This Row],[LP]]="NEÚČAST",Tabulka1710132531[[#This Row],[PP]]="NEÚČAST"),"NEÚČAST",IF(OR(Tabulka1710132531[[#This Row],[LP]]="",Tabulka1710132531[[#This Row],[PP]]=""),"",MAX(Tabulka1710132531[[#This Row],[LP]:[PP]])))))</f>
        <v>16.95</v>
      </c>
      <c r="H19" s="1">
        <f>COUNTIF(Tabulka1710132531[[#This Row],[Tým]],"*")</f>
        <v>1</v>
      </c>
      <c r="I19" s="1">
        <f>COUNTIF(Tabulka1710132531[[#This Row],[Výsledný čas]],"NEÚČAST")</f>
        <v>0</v>
      </c>
      <c r="J19" s="1">
        <f>IF(Tabulka1710132531[[#This Row],[Výsledný čas]]="N",998,IF(Tabulka1710132531[[#This Row],[Výsledný čas]]="D",998,IF(Tabulka1710132531[[#This Row],[Výsledný čas]]="","",Tabulka1710132531[[#This Row],[Výsledný čas]])))</f>
        <v>16.95</v>
      </c>
      <c r="N19" s="71">
        <v>30</v>
      </c>
      <c r="O19" s="34">
        <f>IF(Tabulka17101363036[[#This Row],[ ]]="","",IF(Tabulka17101363036[[#This Row],[ ]]="NEÚČAST","",IF(OR(Tabulka17101363036[Výsledný čas]="N",Tabulka17101363036[Výsledný čas]="D"),$X$4-$X$5,_xlfn.RANK.EQ(Tabulka17101363036[[#This Row],[ ]],Tabulka17101363036[[ ]],1))))</f>
        <v>16</v>
      </c>
      <c r="P19" s="236" t="s">
        <v>16</v>
      </c>
      <c r="Q19" s="91">
        <v>30.9</v>
      </c>
      <c r="R19" s="91" t="s">
        <v>9</v>
      </c>
      <c r="S19" s="235" t="str">
        <f>IF(OR(Tabulka17101363036[[#This Row],[LP]]="N",Tabulka17101363036[[#This Row],[PP]]="N"),"N",IF(OR(Tabulka17101363036[[#This Row],[LP]]="D",Tabulka17101363036[[#This Row],[PP]]="D"),"D",IF(OR(Tabulka17101363036[[#This Row],[LP]]="NEÚČAST",Tabulka17101363036[[#This Row],[PP]]="NEÚČAST"),"NEÚČAST",IF(OR(Tabulka17101363036[[#This Row],[LP]]="",Tabulka17101363036[[#This Row],[PP]]=""),"",MAX(Tabulka17101363036[[#This Row],[LP]:[PP]])))))</f>
        <v>N</v>
      </c>
      <c r="T19" s="241">
        <f>COUNTIF(Tabulka17101363036[[#This Row],[Tým]],"*")</f>
        <v>1</v>
      </c>
      <c r="U19" s="179">
        <f>COUNTIF(Tabulka17101363036[[#This Row],[Výsledný čas]],"NEÚČAST")</f>
        <v>0</v>
      </c>
      <c r="V19" s="36">
        <f>IF(Tabulka17101363036[[#This Row],[Výsledný čas]]="N",998,IF(Tabulka17101363036[[#This Row],[Výsledný čas]]="D",998,IF(Tabulka17101363036[[#This Row],[Výsledný čas]]="","",Tabulka17101363036[[#This Row],[Výsledný čas]])))</f>
        <v>998</v>
      </c>
      <c r="Z19" s="31">
        <f>IF(OR(Tabulka3811142632[Výsledný čas]="N",Tabulka3811142632[Výsledný čas]="D",Tabulka3811142632[Výsledný čas]="NEÚČAST"),Uvod!$E$4,_xlfn.RANK.EQ(Tabulka3811142632[[#This Row],[ ]],Tabulka3811142632[[ ]],1))</f>
        <v>16</v>
      </c>
      <c r="AA19" s="51" t="s">
        <v>24</v>
      </c>
      <c r="AB19" s="44">
        <f>VLOOKUP(Tabulka3811142632[[#This Row],[Tým]],Tabulka1710132531[[Tým]:[ ]],2,FALSE)</f>
        <v>36.69</v>
      </c>
      <c r="AC19" s="44">
        <f>VLOOKUP(Tabulka3811142632[[#This Row],[Tým]],Tabulka1710132531[[Tým]:[ ]],3,FALSE)</f>
        <v>36.39</v>
      </c>
      <c r="AD19" s="25">
        <f>VLOOKUP(Tabulka3811142632[[#This Row],[Tým]],Tabulka1710132531[[Tým]:[ ]],4,FALSE)</f>
        <v>36.69</v>
      </c>
      <c r="AE19" s="25">
        <f>VLOOKUP(Tabulka3811142632[[#This Row],[Tým]],Tabulka1710132531[[Tým]:[ ]],7,FALSE)</f>
        <v>36.69</v>
      </c>
      <c r="AF19" s="29">
        <f>IF(Tabulka3811142632[[#This Row],[Výsledný čas]]="N",5,IF(Tabulka3811142632[[#This Row],[Výsledný čas]]="D",0,IF(Tabulka3811142632[[#This Row],[Výsledný čas]]="NEÚČAST",0,Tabulka4[[#Totals],[Týmy muži]]+6-Tabulka3811142632[[#This Row],[Umístění]])))</f>
        <v>9</v>
      </c>
      <c r="AH19" s="31">
        <f>_xlfn.RANK.EQ(Tabulka5912152733[[#This Row],[Body]],Tabulka5912152733[Body],0)</f>
        <v>16</v>
      </c>
      <c r="AI19" s="97" t="s">
        <v>33</v>
      </c>
      <c r="AJ19" s="188">
        <f>VLOOKUP(Tabulka5912152733[[#This Row],[Tým]],Tabulka3811142632[[Tým]:[Body]],6,FALSE)+Tabulka5912152733[[#This Row],[ ]]</f>
        <v>43</v>
      </c>
      <c r="AK19" s="75">
        <f>VLOOKUP(Tabulka5912152733[[#This Row],[Tým]],Tabulka59121527[[Tým]:[Body]],2,FALSE)</f>
        <v>29</v>
      </c>
      <c r="AL19" s="82">
        <f>Tabulka5912152733[[#This Row],[Umístění]]</f>
        <v>16</v>
      </c>
      <c r="AM19" s="15"/>
      <c r="AP19" s="1"/>
    </row>
    <row r="20" spans="2:42" ht="24.95" customHeight="1" thickBot="1" x14ac:dyDescent="0.45">
      <c r="B20" s="11">
        <v>9</v>
      </c>
      <c r="C20" s="1">
        <f>IF(Tabulka1710132531[[#This Row],[ ]]="","",IF(Tabulka1710132531[[#This Row],[ ]]="NEÚČAST","",IF(OR(Tabulka1710132531[Výsledný čas]="N",Tabulka1710132531[Výsledný čas]="D"),$L$4-$L$5,_xlfn.RANK.EQ(Tabulka1710132531[[#This Row],[ ]],Tabulka1710132531[[ ]],1))))</f>
        <v>17</v>
      </c>
      <c r="D20" s="7" t="s">
        <v>115</v>
      </c>
      <c r="E20" s="8">
        <v>17.100000000000001</v>
      </c>
      <c r="F20" s="8">
        <v>15.84</v>
      </c>
      <c r="G20" s="237">
        <f>IF(OR(Tabulka1710132531[[#This Row],[LP]]="N",Tabulka1710132531[[#This Row],[PP]]="N"),"N",IF(OR(Tabulka1710132531[[#This Row],[LP]]="D",Tabulka1710132531[[#This Row],[PP]]="D"),"D",IF(OR(Tabulka1710132531[[#This Row],[LP]]="NEÚČAST",Tabulka1710132531[[#This Row],[PP]]="NEÚČAST"),"NEÚČAST",IF(OR(Tabulka1710132531[[#This Row],[LP]]="",Tabulka1710132531[[#This Row],[PP]]=""),"",MAX(Tabulka1710132531[[#This Row],[LP]:[PP]])))))</f>
        <v>17.100000000000001</v>
      </c>
      <c r="H20" s="1">
        <f>COUNTIF(Tabulka1710132531[[#This Row],[Tým]],"*")</f>
        <v>1</v>
      </c>
      <c r="I20" s="1">
        <f>COUNTIF(Tabulka1710132531[[#This Row],[Výsledný čas]],"NEÚČAST")</f>
        <v>0</v>
      </c>
      <c r="J20" s="1">
        <f>IF(Tabulka1710132531[[#This Row],[Výsledný čas]]="N",998,IF(Tabulka1710132531[[#This Row],[Výsledný čas]]="D",998,IF(Tabulka1710132531[[#This Row],[Výsledný čas]]="","",Tabulka1710132531[[#This Row],[Výsledný čas]])))</f>
        <v>17.100000000000001</v>
      </c>
      <c r="N20" s="70"/>
      <c r="P20" s="10"/>
      <c r="Q20" s="8"/>
      <c r="R20" s="8"/>
      <c r="Z20" s="31">
        <f>IF(OR(Tabulka3811142632[Výsledný čas]="N",Tabulka3811142632[Výsledný čas]="D",Tabulka3811142632[Výsledný čas]="NEÚČAST"),Uvod!$E$4,_xlfn.RANK.EQ(Tabulka3811142632[[#This Row],[ ]],Tabulka3811142632[[ ]],1))</f>
        <v>19</v>
      </c>
      <c r="AA20" s="51" t="s">
        <v>32</v>
      </c>
      <c r="AB20" s="44" t="str">
        <f>VLOOKUP(Tabulka3811142632[[#This Row],[Tým]],Tabulka1710132531[[Tým]:[ ]],2,FALSE)</f>
        <v>N</v>
      </c>
      <c r="AC20" s="44" t="str">
        <f>VLOOKUP(Tabulka3811142632[[#This Row],[Tým]],Tabulka1710132531[[Tým]:[ ]],3,FALSE)</f>
        <v>N</v>
      </c>
      <c r="AD20" s="25" t="str">
        <f>VLOOKUP(Tabulka3811142632[[#This Row],[Tým]],Tabulka1710132531[[Tým]:[ ]],4,FALSE)</f>
        <v>N</v>
      </c>
      <c r="AE20" s="25">
        <f>VLOOKUP(Tabulka3811142632[[#This Row],[Tým]],Tabulka1710132531[[Tým]:[ ]],7,FALSE)</f>
        <v>998</v>
      </c>
      <c r="AF20" s="29">
        <f>IF(Tabulka3811142632[[#This Row],[Výsledný čas]]="N",5,IF(Tabulka3811142632[[#This Row],[Výsledný čas]]="D",0,IF(Tabulka3811142632[[#This Row],[Výsledný čas]]="NEÚČAST",0,Tabulka4[[#Totals],[Týmy muži]]+6-Tabulka3811142632[[#This Row],[Umístění]])))</f>
        <v>5</v>
      </c>
      <c r="AH20" s="31">
        <f>_xlfn.RANK.EQ(Tabulka5912152733[[#This Row],[Body]],Tabulka5912152733[Body],0)</f>
        <v>17</v>
      </c>
      <c r="AI20" s="51" t="s">
        <v>24</v>
      </c>
      <c r="AJ20" s="188">
        <f>VLOOKUP(Tabulka5912152733[[#This Row],[Tým]],Tabulka3811142632[[Tým]:[Body]],6,FALSE)+Tabulka5912152733[[#This Row],[ ]]</f>
        <v>41</v>
      </c>
      <c r="AK20" s="76">
        <f>VLOOKUP(Tabulka5912152733[[#This Row],[Tým]],Tabulka59121527[[Tým]:[Body]],2,FALSE)</f>
        <v>32</v>
      </c>
      <c r="AL20" s="114">
        <f>Tabulka5912152733[[#This Row],[Umístění]]</f>
        <v>17</v>
      </c>
      <c r="AM20" s="15"/>
      <c r="AP20" s="1"/>
    </row>
    <row r="21" spans="2:42" ht="24.95" customHeight="1" x14ac:dyDescent="0.4">
      <c r="B21" s="6">
        <v>15</v>
      </c>
      <c r="C21" s="1">
        <f>IF(Tabulka1710132531[[#This Row],[ ]]="","",IF(Tabulka1710132531[[#This Row],[ ]]="NEÚČAST","",IF(OR(Tabulka1710132531[Výsledný čas]="N",Tabulka1710132531[Výsledný čas]="D"),$L$4-$L$5,_xlfn.RANK.EQ(Tabulka1710132531[[#This Row],[ ]],Tabulka1710132531[[ ]],1))))</f>
        <v>18</v>
      </c>
      <c r="D21" s="7" t="s">
        <v>11</v>
      </c>
      <c r="E21" s="13">
        <v>16.690000000000001</v>
      </c>
      <c r="F21" s="8">
        <v>17.13</v>
      </c>
      <c r="G21" s="237">
        <f>IF(OR(Tabulka1710132531[[#This Row],[LP]]="N",Tabulka1710132531[[#This Row],[PP]]="N"),"N",IF(OR(Tabulka1710132531[[#This Row],[LP]]="D",Tabulka1710132531[[#This Row],[PP]]="D"),"D",IF(OR(Tabulka1710132531[[#This Row],[LP]]="NEÚČAST",Tabulka1710132531[[#This Row],[PP]]="NEÚČAST"),"NEÚČAST",IF(OR(Tabulka1710132531[[#This Row],[LP]]="",Tabulka1710132531[[#This Row],[PP]]=""),"",MAX(Tabulka1710132531[[#This Row],[LP]:[PP]])))))</f>
        <v>17.13</v>
      </c>
      <c r="H21" s="1">
        <f>COUNTIF(Tabulka1710132531[[#This Row],[Tým]],"*")</f>
        <v>1</v>
      </c>
      <c r="I21" s="1">
        <f>COUNTIF(Tabulka1710132531[[#This Row],[Výsledný čas]],"NEÚČAST")</f>
        <v>0</v>
      </c>
      <c r="J21" s="1">
        <f>IF(Tabulka1710132531[[#This Row],[Výsledný čas]]="N",998,IF(Tabulka1710132531[[#This Row],[Výsledný čas]]="D",998,IF(Tabulka1710132531[[#This Row],[Výsledný čas]]="","",Tabulka1710132531[[#This Row],[Výsledný čas]])))</f>
        <v>17.13</v>
      </c>
      <c r="P21" s="10"/>
      <c r="Q21" s="8"/>
      <c r="R21" s="8"/>
      <c r="Z21" s="31">
        <f>IF(OR(Tabulka3811142632[Výsledný čas]="N",Tabulka3811142632[Výsledný čas]="D",Tabulka3811142632[Výsledný čas]="NEÚČAST"),Uvod!$E$4,_xlfn.RANK.EQ(Tabulka3811142632[[#This Row],[ ]],Tabulka3811142632[[ ]],1))</f>
        <v>19</v>
      </c>
      <c r="AA21" s="51" t="s">
        <v>31</v>
      </c>
      <c r="AB21" s="44">
        <f>VLOOKUP(Tabulka3811142632[[#This Row],[Tým]],Tabulka1710132531[[Tým]:[ ]],2,FALSE)</f>
        <v>15.88</v>
      </c>
      <c r="AC21" s="44">
        <f>VLOOKUP(Tabulka3811142632[[#This Row],[Tým]],Tabulka1710132531[[Tým]:[ ]],3,FALSE)</f>
        <v>16.600000000000001</v>
      </c>
      <c r="AD21" s="25" t="str">
        <f>VLOOKUP(Tabulka3811142632[[#This Row],[Tým]],Tabulka1710132531[[Tým]:[ ]],4,FALSE)</f>
        <v>D</v>
      </c>
      <c r="AE21" s="25">
        <f>VLOOKUP(Tabulka3811142632[[#This Row],[Tým]],Tabulka1710132531[[Tým]:[ ]],7,FALSE)</f>
        <v>998</v>
      </c>
      <c r="AF21" s="29">
        <f>IF(Tabulka3811142632[[#This Row],[Výsledný čas]]="N",5,IF(Tabulka3811142632[[#This Row],[Výsledný čas]]="D",0,IF(Tabulka3811142632[[#This Row],[Výsledný čas]]="NEÚČAST",0,Tabulka4[[#Totals],[Týmy muži]]+6-Tabulka3811142632[[#This Row],[Umístění]])))</f>
        <v>0</v>
      </c>
      <c r="AH21" s="31">
        <f>_xlfn.RANK.EQ(Tabulka5912152733[[#This Row],[Body]],Tabulka5912152733[Body],0)</f>
        <v>18</v>
      </c>
      <c r="AI21" s="51" t="s">
        <v>31</v>
      </c>
      <c r="AJ21" s="188">
        <f>VLOOKUP(Tabulka5912152733[[#This Row],[Tým]],Tabulka3811142632[[Tým]:[Body]],6,FALSE)+Tabulka5912152733[[#This Row],[ ]]</f>
        <v>37</v>
      </c>
      <c r="AK21" s="75">
        <f>VLOOKUP(Tabulka5912152733[[#This Row],[Tým]],Tabulka59121527[[Tým]:[Body]],2,FALSE)</f>
        <v>37</v>
      </c>
      <c r="AL21" s="82">
        <f>Tabulka5912152733[[#This Row],[Umístění]]</f>
        <v>18</v>
      </c>
    </row>
    <row r="22" spans="2:42" ht="24.95" customHeight="1" thickBot="1" x14ac:dyDescent="0.45">
      <c r="B22" s="6">
        <v>28</v>
      </c>
      <c r="C22" s="1">
        <f>IF(Tabulka1710132531[[#This Row],[ ]]="","",IF(Tabulka1710132531[[#This Row],[ ]]="NEÚČAST","",IF(OR(Tabulka1710132531[Výsledný čas]="N",Tabulka1710132531[Výsledný čas]="D"),$L$4-$L$5,_xlfn.RANK.EQ(Tabulka1710132531[[#This Row],[ ]],Tabulka1710132531[[ ]],1))))</f>
        <v>19</v>
      </c>
      <c r="D22" s="7" t="s">
        <v>33</v>
      </c>
      <c r="E22" s="8">
        <v>17</v>
      </c>
      <c r="F22" s="8">
        <v>17.260000000000002</v>
      </c>
      <c r="G22" s="237">
        <f>IF(OR(Tabulka1710132531[[#This Row],[LP]]="N",Tabulka1710132531[[#This Row],[PP]]="N"),"N",IF(OR(Tabulka1710132531[[#This Row],[LP]]="D",Tabulka1710132531[[#This Row],[PP]]="D"),"D",IF(OR(Tabulka1710132531[[#This Row],[LP]]="NEÚČAST",Tabulka1710132531[[#This Row],[PP]]="NEÚČAST"),"NEÚČAST",IF(OR(Tabulka1710132531[[#This Row],[LP]]="",Tabulka1710132531[[#This Row],[PP]]=""),"",MAX(Tabulka1710132531[[#This Row],[LP]:[PP]])))))</f>
        <v>17.260000000000002</v>
      </c>
      <c r="H22" s="1">
        <f>COUNTIF(Tabulka1710132531[[#This Row],[Tým]],"*")</f>
        <v>1</v>
      </c>
      <c r="I22" s="1">
        <f>COUNTIF(Tabulka1710132531[[#This Row],[Výsledný čas]],"NEÚČAST")</f>
        <v>0</v>
      </c>
      <c r="J22" s="1">
        <f>IF(Tabulka1710132531[[#This Row],[Výsledný čas]]="N",998,IF(Tabulka1710132531[[#This Row],[Výsledný čas]]="D",998,IF(Tabulka1710132531[[#This Row],[Výsledný čas]]="","",Tabulka1710132531[[#This Row],[Výsledný čas]])))</f>
        <v>17.260000000000002</v>
      </c>
      <c r="P22" s="10"/>
      <c r="Q22" s="8"/>
      <c r="R22" s="8"/>
      <c r="Z22" s="33">
        <f>IF(OR(Tabulka3811142632[Výsledný čas]="N",Tabulka3811142632[Výsledný čas]="D",Tabulka3811142632[Výsledný čas]="NEÚČAST"),Uvod!$E$4,_xlfn.RANK.EQ(Tabulka3811142632[[#This Row],[ ]],Tabulka3811142632[[ ]],1))</f>
        <v>19</v>
      </c>
      <c r="AA22" s="98" t="s">
        <v>17</v>
      </c>
      <c r="AB22" s="45" t="str">
        <f>VLOOKUP(Tabulka3811142632[[#This Row],[Tým]],Tabulka1710132531[[Tým]:[ ]],2,FALSE)</f>
        <v>NEÚČAST</v>
      </c>
      <c r="AC22" s="45" t="str">
        <f>VLOOKUP(Tabulka3811142632[[#This Row],[Tým]],Tabulka1710132531[[Tým]:[ ]],3,FALSE)</f>
        <v>NEÚČAST</v>
      </c>
      <c r="AD22" s="34" t="str">
        <f>VLOOKUP(Tabulka3811142632[[#This Row],[Tým]],Tabulka1710132531[[Tým]:[ ]],4,FALSE)</f>
        <v>NEÚČAST</v>
      </c>
      <c r="AE22" s="34" t="str">
        <f>VLOOKUP(Tabulka3811142632[[#This Row],[Tým]],Tabulka1710132531[[Tým]:[ ]],7,FALSE)</f>
        <v>NEÚČAST</v>
      </c>
      <c r="AF22" s="36">
        <f>IF(Tabulka3811142632[[#This Row],[Výsledný čas]]="N",5,IF(Tabulka3811142632[[#This Row],[Výsledný čas]]="D",0,IF(Tabulka3811142632[[#This Row],[Výsledný čas]]="NEÚČAST",0,Tabulka4[[#Totals],[Týmy muži]]+6-Tabulka3811142632[[#This Row],[Umístění]])))</f>
        <v>0</v>
      </c>
      <c r="AH22" s="33">
        <f>_xlfn.RANK.EQ(Tabulka5912152733[[#This Row],[Body]],Tabulka5912152733[Body],0)</f>
        <v>19</v>
      </c>
      <c r="AI22" s="98" t="s">
        <v>17</v>
      </c>
      <c r="AJ22" s="189">
        <f>VLOOKUP(Tabulka5912152733[[#This Row],[Tým]],Tabulka3811142632[[Tým]:[Body]],6,FALSE)+Tabulka5912152733[[#This Row],[ ]]</f>
        <v>19</v>
      </c>
      <c r="AK22" s="76">
        <f>VLOOKUP(Tabulka5912152733[[#This Row],[Tým]],Tabulka59121527[[Tým]:[Body]],2,FALSE)</f>
        <v>19</v>
      </c>
      <c r="AL22" s="82">
        <f>Tabulka5912152733[[#This Row],[Umístění]]</f>
        <v>19</v>
      </c>
    </row>
    <row r="23" spans="2:42" ht="24.95" customHeight="1" x14ac:dyDescent="0.4">
      <c r="B23" s="6">
        <v>26</v>
      </c>
      <c r="C23" s="1">
        <f>IF(Tabulka1710132531[[#This Row],[ ]]="","",IF(Tabulka1710132531[[#This Row],[ ]]="NEÚČAST","",IF(OR(Tabulka1710132531[Výsledný čas]="N",Tabulka1710132531[Výsledný čas]="D"),$L$4-$L$5,_xlfn.RANK.EQ(Tabulka1710132531[[#This Row],[ ]],Tabulka1710132531[[ ]],1))))</f>
        <v>20</v>
      </c>
      <c r="D23" s="14" t="s">
        <v>6</v>
      </c>
      <c r="E23" s="8">
        <v>16.91</v>
      </c>
      <c r="F23" s="8">
        <v>17.53</v>
      </c>
      <c r="G23" s="237">
        <f>IF(OR(Tabulka1710132531[[#This Row],[LP]]="N",Tabulka1710132531[[#This Row],[PP]]="N"),"N",IF(OR(Tabulka1710132531[[#This Row],[LP]]="D",Tabulka1710132531[[#This Row],[PP]]="D"),"D",IF(OR(Tabulka1710132531[[#This Row],[LP]]="NEÚČAST",Tabulka1710132531[[#This Row],[PP]]="NEÚČAST"),"NEÚČAST",IF(OR(Tabulka1710132531[[#This Row],[LP]]="",Tabulka1710132531[[#This Row],[PP]]=""),"",MAX(Tabulka1710132531[[#This Row],[LP]:[PP]])))))</f>
        <v>17.53</v>
      </c>
      <c r="H23" s="1">
        <f>COUNTIF(Tabulka1710132531[[#This Row],[Tým]],"*")</f>
        <v>1</v>
      </c>
      <c r="I23" s="1">
        <f>COUNTIF(Tabulka1710132531[[#This Row],[Výsledný čas]],"NEÚČAST")</f>
        <v>0</v>
      </c>
      <c r="J23" s="1">
        <f>IF(Tabulka1710132531[[#This Row],[Výsledný čas]]="N",998,IF(Tabulka1710132531[[#This Row],[Výsledný čas]]="D",998,IF(Tabulka1710132531[[#This Row],[Výsledný čas]]="","",Tabulka1710132531[[#This Row],[Výsledný čas]])))</f>
        <v>17.53</v>
      </c>
      <c r="P23" s="10"/>
      <c r="Q23" s="8"/>
      <c r="R23" s="8"/>
      <c r="AB23" s="3"/>
      <c r="AC23" s="3"/>
      <c r="AL23" s="15"/>
    </row>
    <row r="24" spans="2:42" ht="24.95" customHeight="1" thickBot="1" x14ac:dyDescent="0.45">
      <c r="B24" s="11">
        <v>25</v>
      </c>
      <c r="C24" s="1">
        <f>IF(Tabulka1710132531[[#This Row],[ ]]="","",IF(Tabulka1710132531[[#This Row],[ ]]="NEÚČAST","",IF(OR(Tabulka1710132531[Výsledný čas]="N",Tabulka1710132531[Výsledný čas]="D"),$L$4-$L$5,_xlfn.RANK.EQ(Tabulka1710132531[[#This Row],[ ]],Tabulka1710132531[[ ]],1))))</f>
        <v>21</v>
      </c>
      <c r="D24" s="7" t="s">
        <v>16</v>
      </c>
      <c r="E24" s="8">
        <v>18.18</v>
      </c>
      <c r="F24" s="8">
        <v>17.96</v>
      </c>
      <c r="G24" s="237">
        <f>IF(OR(Tabulka1710132531[[#This Row],[LP]]="N",Tabulka1710132531[[#This Row],[PP]]="N"),"N",IF(OR(Tabulka1710132531[[#This Row],[LP]]="D",Tabulka1710132531[[#This Row],[PP]]="D"),"D",IF(OR(Tabulka1710132531[[#This Row],[LP]]="NEÚČAST",Tabulka1710132531[[#This Row],[PP]]="NEÚČAST"),"NEÚČAST",IF(OR(Tabulka1710132531[[#This Row],[LP]]="",Tabulka1710132531[[#This Row],[PP]]=""),"",MAX(Tabulka1710132531[[#This Row],[LP]:[PP]])))))</f>
        <v>18.18</v>
      </c>
      <c r="H24" s="1">
        <f>COUNTIF(Tabulka1710132531[[#This Row],[Tým]],"*")</f>
        <v>1</v>
      </c>
      <c r="I24" s="1">
        <f>COUNTIF(Tabulka1710132531[[#This Row],[Výsledný čas]],"NEÚČAST")</f>
        <v>0</v>
      </c>
      <c r="J24" s="1">
        <f>IF(Tabulka1710132531[[#This Row],[Výsledný čas]]="N",998,IF(Tabulka1710132531[[#This Row],[Výsledný čas]]="D",998,IF(Tabulka1710132531[[#This Row],[Výsledný čas]]="","",Tabulka1710132531[[#This Row],[Výsledný čas]])))</f>
        <v>18.18</v>
      </c>
      <c r="N24" s="68"/>
      <c r="P24" s="7"/>
      <c r="Q24" s="8"/>
      <c r="R24" s="8"/>
      <c r="AB24" s="3"/>
      <c r="AC24" s="3"/>
      <c r="AL24" s="15"/>
    </row>
    <row r="25" spans="2:42" ht="24.95" customHeight="1" x14ac:dyDescent="0.4">
      <c r="B25" s="15">
        <v>44</v>
      </c>
      <c r="C25" s="1">
        <f>IF(Tabulka1710132531[[#This Row],[ ]]="","",IF(Tabulka1710132531[[#This Row],[ ]]="NEÚČAST","",IF(OR(Tabulka1710132531[Výsledný čas]="N",Tabulka1710132531[Výsledný čas]="D"),$L$4-$L$5,_xlfn.RANK.EQ(Tabulka1710132531[[#This Row],[ ]],Tabulka1710132531[[ ]],1))))</f>
        <v>22</v>
      </c>
      <c r="D25" s="16" t="s">
        <v>92</v>
      </c>
      <c r="E25" s="1">
        <v>19.38</v>
      </c>
      <c r="F25" s="1">
        <v>19.52</v>
      </c>
      <c r="G25" s="237">
        <f>IF(OR(Tabulka1710132531[[#This Row],[LP]]="N",Tabulka1710132531[[#This Row],[PP]]="N"),"N",IF(OR(Tabulka1710132531[[#This Row],[LP]]="D",Tabulka1710132531[[#This Row],[PP]]="D"),"D",IF(OR(Tabulka1710132531[[#This Row],[LP]]="NEÚČAST",Tabulka1710132531[[#This Row],[PP]]="NEÚČAST"),"NEÚČAST",IF(OR(Tabulka1710132531[[#This Row],[LP]]="",Tabulka1710132531[[#This Row],[PP]]=""),"",MAX(Tabulka1710132531[[#This Row],[LP]:[PP]])))))</f>
        <v>19.52</v>
      </c>
      <c r="H25" s="1">
        <f>COUNTIF(Tabulka1710132531[[#This Row],[Tým]],"*")</f>
        <v>1</v>
      </c>
      <c r="I25" s="1">
        <f>COUNTIF(Tabulka1710132531[[#This Row],[Výsledný čas]],"NEÚČAST")</f>
        <v>0</v>
      </c>
      <c r="J25" s="1">
        <f>IF(Tabulka1710132531[[#This Row],[Výsledný čas]]="N",998,IF(Tabulka1710132531[[#This Row],[Výsledný čas]]="D",998,IF(Tabulka1710132531[[#This Row],[Výsledný čas]]="","",Tabulka1710132531[[#This Row],[Výsledný čas]])))</f>
        <v>19.52</v>
      </c>
      <c r="N25" s="70"/>
      <c r="P25" s="7"/>
      <c r="Q25" s="8"/>
      <c r="R25" s="8"/>
      <c r="Z25" s="308" t="str">
        <f>N2</f>
        <v xml:space="preserve">Výsledky - Soutěže 4. kola NHHL 16.6. 2023 Markvartovice - ŽENY </v>
      </c>
      <c r="AA25" s="309"/>
      <c r="AB25" s="309"/>
      <c r="AC25" s="309"/>
      <c r="AD25" s="309"/>
      <c r="AE25" s="309"/>
      <c r="AF25" s="310"/>
      <c r="AH25" s="308" t="s">
        <v>29</v>
      </c>
      <c r="AI25" s="309"/>
      <c r="AJ25" s="309"/>
      <c r="AK25" s="310"/>
      <c r="AM25" s="15"/>
    </row>
    <row r="26" spans="2:42" ht="24.95" customHeight="1" thickBot="1" x14ac:dyDescent="0.45">
      <c r="B26" s="15">
        <v>36</v>
      </c>
      <c r="C26" s="1">
        <f>IF(Tabulka1710132531[[#This Row],[ ]]="","",IF(Tabulka1710132531[[#This Row],[ ]]="NEÚČAST","",IF(OR(Tabulka1710132531[Výsledný čas]="N",Tabulka1710132531[Výsledný čas]="D"),$L$4-$L$5,_xlfn.RANK.EQ(Tabulka1710132531[[#This Row],[ ]],Tabulka1710132531[[ ]],1))))</f>
        <v>23</v>
      </c>
      <c r="D26" s="16" t="s">
        <v>18</v>
      </c>
      <c r="E26" s="1">
        <v>19.329999999999998</v>
      </c>
      <c r="F26" s="1">
        <v>19.64</v>
      </c>
      <c r="G26" s="237">
        <f>IF(OR(Tabulka1710132531[[#This Row],[LP]]="N",Tabulka1710132531[[#This Row],[PP]]="N"),"N",IF(OR(Tabulka1710132531[[#This Row],[LP]]="D",Tabulka1710132531[[#This Row],[PP]]="D"),"D",IF(OR(Tabulka1710132531[[#This Row],[LP]]="NEÚČAST",Tabulka1710132531[[#This Row],[PP]]="NEÚČAST"),"NEÚČAST",IF(OR(Tabulka1710132531[[#This Row],[LP]]="",Tabulka1710132531[[#This Row],[PP]]=""),"",MAX(Tabulka1710132531[[#This Row],[LP]:[PP]])))))</f>
        <v>19.64</v>
      </c>
      <c r="H26" s="1">
        <f>COUNTIF(Tabulka1710132531[[#This Row],[Tým]],"*")</f>
        <v>1</v>
      </c>
      <c r="I26" s="1">
        <f>COUNTIF(Tabulka1710132531[[#This Row],[Výsledný čas]],"NEÚČAST")</f>
        <v>0</v>
      </c>
      <c r="J26" s="1">
        <f>IF(Tabulka1710132531[[#This Row],[Výsledný čas]]="N",998,IF(Tabulka1710132531[[#This Row],[Výsledný čas]]="D",998,IF(Tabulka1710132531[[#This Row],[Výsledný čas]]="","",Tabulka1710132531[[#This Row],[Výsledný čas]])))</f>
        <v>19.64</v>
      </c>
      <c r="P26" s="7"/>
      <c r="Q26" s="8"/>
      <c r="R26" s="8"/>
      <c r="Z26" s="58" t="s">
        <v>1</v>
      </c>
      <c r="AA26" s="59" t="s">
        <v>2</v>
      </c>
      <c r="AB26" s="59" t="s">
        <v>3</v>
      </c>
      <c r="AC26" s="59" t="s">
        <v>4</v>
      </c>
      <c r="AD26" s="59" t="s">
        <v>5</v>
      </c>
      <c r="AE26" s="59" t="s">
        <v>27</v>
      </c>
      <c r="AF26" s="60" t="s">
        <v>7</v>
      </c>
      <c r="AH26" s="58" t="s">
        <v>1</v>
      </c>
      <c r="AI26" s="59" t="s">
        <v>2</v>
      </c>
      <c r="AJ26" s="59" t="s">
        <v>7</v>
      </c>
      <c r="AK26" s="29" t="s">
        <v>27</v>
      </c>
      <c r="AL26" s="112" t="s">
        <v>73</v>
      </c>
      <c r="AM26" s="15"/>
      <c r="AP26" s="1"/>
    </row>
    <row r="27" spans="2:42" ht="24.95" customHeight="1" x14ac:dyDescent="0.4">
      <c r="B27" s="15">
        <v>12</v>
      </c>
      <c r="C27" s="1">
        <f>IF(Tabulka1710132531[[#This Row],[ ]]="","",IF(Tabulka1710132531[[#This Row],[ ]]="NEÚČAST","",IF(OR(Tabulka1710132531[Výsledný čas]="N",Tabulka1710132531[Výsledný čas]="D"),$L$4-$L$5,_xlfn.RANK.EQ(Tabulka1710132531[[#This Row],[ ]],Tabulka1710132531[[ ]],1))))</f>
        <v>24</v>
      </c>
      <c r="D27" s="16" t="s">
        <v>15</v>
      </c>
      <c r="E27" s="1">
        <v>22.42</v>
      </c>
      <c r="F27" s="1">
        <v>17.36</v>
      </c>
      <c r="G27" s="237">
        <f>IF(OR(Tabulka1710132531[[#This Row],[LP]]="N",Tabulka1710132531[[#This Row],[PP]]="N"),"N",IF(OR(Tabulka1710132531[[#This Row],[LP]]="D",Tabulka1710132531[[#This Row],[PP]]="D"),"D",IF(OR(Tabulka1710132531[[#This Row],[LP]]="NEÚČAST",Tabulka1710132531[[#This Row],[PP]]="NEÚČAST"),"NEÚČAST",IF(OR(Tabulka1710132531[[#This Row],[LP]]="",Tabulka1710132531[[#This Row],[PP]]=""),"",MAX(Tabulka1710132531[[#This Row],[LP]:[PP]])))))</f>
        <v>22.42</v>
      </c>
      <c r="H27" s="1">
        <f>COUNTIF(Tabulka1710132531[[#This Row],[Tým]],"*")</f>
        <v>1</v>
      </c>
      <c r="I27" s="1">
        <f>COUNTIF(Tabulka1710132531[[#This Row],[Výsledný čas]],"NEÚČAST")</f>
        <v>0</v>
      </c>
      <c r="J27" s="1">
        <f>IF(Tabulka1710132531[[#This Row],[Výsledný čas]]="N",998,IF(Tabulka1710132531[[#This Row],[Výsledný čas]]="D",998,IF(Tabulka1710132531[[#This Row],[Výsledný čas]]="","",Tabulka1710132531[[#This Row],[Výsledný čas]])))</f>
        <v>22.42</v>
      </c>
      <c r="P27" s="7"/>
      <c r="Q27" s="8"/>
      <c r="R27" s="8"/>
      <c r="Z27" s="77">
        <f>IF(OR(Tabulka38111422834[Výsledný čas]="N",Tabulka38111422834[Výsledný čas]="D",Tabulka38111422834[Výsledný čas]="NEÚČAST"),Uvod!$E$6,_xlfn.RANK.EQ(Tabulka38111422834[[#This Row],[ ]],Tabulka38111422834[[ ]],1))</f>
        <v>1</v>
      </c>
      <c r="AA27" s="78" t="s">
        <v>22</v>
      </c>
      <c r="AB27" s="79">
        <f>VLOOKUP(Tabulka38111422834[[#This Row],[Tým]],Tabulka17101363036[[Tým]:[ ]],2,FALSE)</f>
        <v>16.23</v>
      </c>
      <c r="AC27" s="79">
        <f>VLOOKUP(Tabulka38111422834[[#This Row],[Tým]],Tabulka17101363036[[Tým]:[ ]],3,FALSE)</f>
        <v>16.07</v>
      </c>
      <c r="AD27" s="80">
        <f>VLOOKUP(Tabulka38111422834[[#This Row],[Tým]],Tabulka17101363036[[Tým]:[ ]],4,FALSE)</f>
        <v>16.23</v>
      </c>
      <c r="AE27" s="80">
        <f>VLOOKUP(Tabulka38111422834[[#This Row],[Tým]],Tabulka17101363036[[Tým]:[ ]],7,FALSE)</f>
        <v>16.23</v>
      </c>
      <c r="AF27" s="81">
        <f>IF(Tabulka38111422834[[#This Row],[Výsledný čas]]="N",5,IF(Tabulka38111422834[[#This Row],[Výsledný čas]]="D",0,IF(Tabulka38111422834[[#This Row],[Výsledný čas]]="NEÚČAST",0,Tabulka8[[#Totals],[Týmy ženy]]+6-Tabulka38111422834[[#This Row],[Umístění]])))</f>
        <v>15</v>
      </c>
      <c r="AH27" s="77">
        <f>_xlfn.RANK.EQ(Tabulka59121532935[[#This Row],[Body]],Tabulka59121532935[Body],0)</f>
        <v>1</v>
      </c>
      <c r="AI27" s="78" t="s">
        <v>34</v>
      </c>
      <c r="AJ27" s="187">
        <f>VLOOKUP(Tabulka59121532935[[#This Row],[Tým]],Tabulka38111422834[[Tým]:[Body]],6,FALSE)+Tabulka59121532935[[#This Row],[ ]]</f>
        <v>57</v>
      </c>
      <c r="AK27" s="75">
        <f>VLOOKUP(Tabulka59121532935[[#This Row],[Tým]],Tabulka591215329[[Tým]:[Body]],2,FALSE)</f>
        <v>43</v>
      </c>
      <c r="AL27" s="113">
        <f>Tabulka59121532935[[#This Row],[Umístění]]</f>
        <v>1</v>
      </c>
      <c r="AM27" s="15"/>
      <c r="AP27" s="1"/>
    </row>
    <row r="28" spans="2:42" ht="24.95" customHeight="1" x14ac:dyDescent="0.4">
      <c r="B28" s="15">
        <v>8</v>
      </c>
      <c r="C28" s="1">
        <f>IF(Tabulka1710132531[[#This Row],[ ]]="","",IF(Tabulka1710132531[[#This Row],[ ]]="NEÚČAST","",IF(OR(Tabulka1710132531[Výsledný čas]="N",Tabulka1710132531[Výsledný čas]="D"),$L$4-$L$5,_xlfn.RANK.EQ(Tabulka1710132531[[#This Row],[ ]],Tabulka1710132531[[ ]],1))))</f>
        <v>25</v>
      </c>
      <c r="D28" s="16" t="s">
        <v>24</v>
      </c>
      <c r="E28" s="1">
        <v>36.69</v>
      </c>
      <c r="F28" s="1">
        <v>36.39</v>
      </c>
      <c r="G28" s="237">
        <f>IF(OR(Tabulka1710132531[[#This Row],[LP]]="N",Tabulka1710132531[[#This Row],[PP]]="N"),"N",IF(OR(Tabulka1710132531[[#This Row],[LP]]="D",Tabulka1710132531[[#This Row],[PP]]="D"),"D",IF(OR(Tabulka1710132531[[#This Row],[LP]]="NEÚČAST",Tabulka1710132531[[#This Row],[PP]]="NEÚČAST"),"NEÚČAST",IF(OR(Tabulka1710132531[[#This Row],[LP]]="",Tabulka1710132531[[#This Row],[PP]]=""),"",MAX(Tabulka1710132531[[#This Row],[LP]:[PP]])))))</f>
        <v>36.69</v>
      </c>
      <c r="H28" s="1">
        <f>COUNTIF(Tabulka1710132531[[#This Row],[Tým]],"*")</f>
        <v>1</v>
      </c>
      <c r="I28" s="1">
        <f>COUNTIF(Tabulka1710132531[[#This Row],[Výsledný čas]],"NEÚČAST")</f>
        <v>0</v>
      </c>
      <c r="J28" s="1">
        <f>IF(Tabulka1710132531[[#This Row],[Výsledný čas]]="N",998,IF(Tabulka1710132531[[#This Row],[Výsledný čas]]="D",998,IF(Tabulka1710132531[[#This Row],[Výsledný čas]]="","",Tabulka1710132531[[#This Row],[Výsledný čas]])))</f>
        <v>36.69</v>
      </c>
      <c r="P28" s="7"/>
      <c r="Q28" s="8"/>
      <c r="R28" s="8"/>
      <c r="Z28" s="31">
        <f>IF(OR(Tabulka38111422834[Výsledný čas]="N",Tabulka38111422834[Výsledný čas]="D",Tabulka38111422834[Výsledný čas]="NEÚČAST"),Uvod!$E$6,_xlfn.RANK.EQ(Tabulka38111422834[[#This Row],[ ]],Tabulka38111422834[[ ]],1))</f>
        <v>2</v>
      </c>
      <c r="AA28" s="51" t="s">
        <v>34</v>
      </c>
      <c r="AB28" s="44">
        <f>VLOOKUP(Tabulka38111422834[[#This Row],[Tým]],Tabulka17101363036[[Tým]:[ ]],2,FALSE)</f>
        <v>16.13</v>
      </c>
      <c r="AC28" s="44">
        <f>VLOOKUP(Tabulka38111422834[[#This Row],[Tým]],Tabulka17101363036[[Tým]:[ ]],3,FALSE)</f>
        <v>16.28</v>
      </c>
      <c r="AD28" s="25">
        <f>VLOOKUP(Tabulka38111422834[[#This Row],[Tým]],Tabulka17101363036[[Tým]:[ ]],4,FALSE)</f>
        <v>16.28</v>
      </c>
      <c r="AE28" s="25">
        <f>VLOOKUP(Tabulka38111422834[[#This Row],[Tým]],Tabulka17101363036[[Tým]:[ ]],7,FALSE)</f>
        <v>16.28</v>
      </c>
      <c r="AF28" s="29">
        <f>IF(Tabulka38111422834[[#This Row],[Výsledný čas]]="N",5,IF(Tabulka38111422834[[#This Row],[Výsledný čas]]="D",0,IF(Tabulka38111422834[[#This Row],[Výsledný čas]]="NEÚČAST",0,Tabulka8[[#Totals],[Týmy ženy]]+6-Tabulka38111422834[[#This Row],[Umístění]])))</f>
        <v>14</v>
      </c>
      <c r="AH28" s="31">
        <f>_xlfn.RANK.EQ(Tabulka59121532935[[#This Row],[Body]],Tabulka59121532935[Body],0)</f>
        <v>1</v>
      </c>
      <c r="AI28" s="51" t="s">
        <v>22</v>
      </c>
      <c r="AJ28" s="188">
        <f>VLOOKUP(Tabulka59121532935[[#This Row],[Tým]],Tabulka38111422834[[Tým]:[Body]],6,FALSE)+Tabulka59121532935[[#This Row],[ ]]</f>
        <v>57</v>
      </c>
      <c r="AK28" s="75">
        <f>VLOOKUP(Tabulka59121532935[[#This Row],[Tým]],Tabulka591215329[[Tým]:[Body]],2,FALSE)</f>
        <v>42</v>
      </c>
      <c r="AL28" s="82">
        <f>Tabulka59121532935[[#This Row],[Umístění]]</f>
        <v>1</v>
      </c>
      <c r="AM28" s="15"/>
      <c r="AP28" s="1"/>
    </row>
    <row r="29" spans="2:42" ht="24.95" customHeight="1" x14ac:dyDescent="0.4">
      <c r="B29" s="15">
        <v>34</v>
      </c>
      <c r="C29" s="1">
        <f>IF(Tabulka1710132531[[#This Row],[ ]]="","",IF(Tabulka1710132531[[#This Row],[ ]]="NEÚČAST","",IF(OR(Tabulka1710132531[Výsledný čas]="N",Tabulka1710132531[Výsledný čas]="D"),$L$4-$L$5,_xlfn.RANK.EQ(Tabulka1710132531[[#This Row],[ ]],Tabulka1710132531[[ ]],1))))</f>
        <v>28</v>
      </c>
      <c r="D29" s="16" t="s">
        <v>95</v>
      </c>
      <c r="E29" s="1">
        <v>15.02</v>
      </c>
      <c r="F29" s="1" t="s">
        <v>9</v>
      </c>
      <c r="G29" s="237" t="str">
        <f>IF(OR(Tabulka1710132531[[#This Row],[LP]]="N",Tabulka1710132531[[#This Row],[PP]]="N"),"N",IF(OR(Tabulka1710132531[[#This Row],[LP]]="D",Tabulka1710132531[[#This Row],[PP]]="D"),"D",IF(OR(Tabulka1710132531[[#This Row],[LP]]="NEÚČAST",Tabulka1710132531[[#This Row],[PP]]="NEÚČAST"),"NEÚČAST",IF(OR(Tabulka1710132531[[#This Row],[LP]]="",Tabulka1710132531[[#This Row],[PP]]=""),"",MAX(Tabulka1710132531[[#This Row],[LP]:[PP]])))))</f>
        <v>N</v>
      </c>
      <c r="H29" s="1">
        <f>COUNTIF(Tabulka1710132531[[#This Row],[Tým]],"*")</f>
        <v>1</v>
      </c>
      <c r="I29" s="1">
        <f>COUNTIF(Tabulka1710132531[[#This Row],[Výsledný čas]],"NEÚČAST")</f>
        <v>0</v>
      </c>
      <c r="J29" s="1">
        <f>IF(Tabulka1710132531[[#This Row],[Výsledný čas]]="N",998,IF(Tabulka1710132531[[#This Row],[Výsledný čas]]="D",998,IF(Tabulka1710132531[[#This Row],[Výsledný čas]]="","",Tabulka1710132531[[#This Row],[Výsledný čas]])))</f>
        <v>998</v>
      </c>
      <c r="N29" s="68"/>
      <c r="P29" s="7"/>
      <c r="Q29" s="8"/>
      <c r="R29" s="8"/>
      <c r="Z29" s="31">
        <f>IF(OR(Tabulka38111422834[Výsledný čas]="N",Tabulka38111422834[Výsledný čas]="D",Tabulka38111422834[Výsledný čas]="NEÚČAST"),Uvod!$E$6,_xlfn.RANK.EQ(Tabulka38111422834[[#This Row],[ ]],Tabulka38111422834[[ ]],1))</f>
        <v>3</v>
      </c>
      <c r="AA29" s="51" t="s">
        <v>19</v>
      </c>
      <c r="AB29" s="44">
        <f>VLOOKUP(Tabulka38111422834[[#This Row],[Tým]],Tabulka17101363036[[Tým]:[ ]],2,FALSE)</f>
        <v>18.100000000000001</v>
      </c>
      <c r="AC29" s="44">
        <f>VLOOKUP(Tabulka38111422834[[#This Row],[Tým]],Tabulka17101363036[[Tým]:[ ]],3,FALSE)</f>
        <v>18.27</v>
      </c>
      <c r="AD29" s="25">
        <f>VLOOKUP(Tabulka38111422834[[#This Row],[Tým]],Tabulka17101363036[[Tým]:[ ]],4,FALSE)</f>
        <v>18.27</v>
      </c>
      <c r="AE29" s="25">
        <f>VLOOKUP(Tabulka38111422834[[#This Row],[Tým]],Tabulka17101363036[[Tým]:[ ]],7,FALSE)</f>
        <v>18.27</v>
      </c>
      <c r="AF29" s="29">
        <f>IF(Tabulka38111422834[[#This Row],[Výsledný čas]]="N",5,IF(Tabulka38111422834[[#This Row],[Výsledný čas]]="D",0,IF(Tabulka38111422834[[#This Row],[Výsledný čas]]="NEÚČAST",0,Tabulka8[[#Totals],[Týmy ženy]]+6-Tabulka38111422834[[#This Row],[Umístění]])))</f>
        <v>13</v>
      </c>
      <c r="AH29" s="31">
        <f>_xlfn.RANK.EQ(Tabulka59121532935[[#This Row],[Body]],Tabulka59121532935[Body],0)</f>
        <v>3</v>
      </c>
      <c r="AI29" s="51" t="s">
        <v>35</v>
      </c>
      <c r="AJ29" s="188">
        <f>VLOOKUP(Tabulka59121532935[[#This Row],[Tým]],Tabulka38111422834[[Tým]:[Body]],6,FALSE)+Tabulka59121532935[[#This Row],[ ]]</f>
        <v>51</v>
      </c>
      <c r="AK29" s="75">
        <f>VLOOKUP(Tabulka59121532935[[#This Row],[Tým]],Tabulka591215329[[Tým]:[Body]],2,FALSE)</f>
        <v>39</v>
      </c>
      <c r="AL29" s="82">
        <f>Tabulka59121532935[[#This Row],[Umístění]]</f>
        <v>3</v>
      </c>
      <c r="AP29" s="1"/>
    </row>
    <row r="30" spans="2:42" ht="24.95" customHeight="1" thickBot="1" x14ac:dyDescent="0.45">
      <c r="B30" s="15">
        <v>39</v>
      </c>
      <c r="C30" s="1">
        <f>IF(Tabulka1710132531[[#This Row],[ ]]="","",IF(Tabulka1710132531[[#This Row],[ ]]="NEÚČAST","",IF(OR(Tabulka1710132531[Výsledný čas]="N",Tabulka1710132531[Výsledný čas]="D"),$L$4-$L$5,_xlfn.RANK.EQ(Tabulka1710132531[[#This Row],[ ]],Tabulka1710132531[[ ]],1))))</f>
        <v>28</v>
      </c>
      <c r="D30" s="16" t="s">
        <v>32</v>
      </c>
      <c r="E30" s="1" t="s">
        <v>9</v>
      </c>
      <c r="F30" s="1" t="s">
        <v>9</v>
      </c>
      <c r="G30" s="237" t="str">
        <f>IF(OR(Tabulka1710132531[[#This Row],[LP]]="N",Tabulka1710132531[[#This Row],[PP]]="N"),"N",IF(OR(Tabulka1710132531[[#This Row],[LP]]="D",Tabulka1710132531[[#This Row],[PP]]="D"),"D",IF(OR(Tabulka1710132531[[#This Row],[LP]]="NEÚČAST",Tabulka1710132531[[#This Row],[PP]]="NEÚČAST"),"NEÚČAST",IF(OR(Tabulka1710132531[[#This Row],[LP]]="",Tabulka1710132531[[#This Row],[PP]]=""),"",MAX(Tabulka1710132531[[#This Row],[LP]:[PP]])))))</f>
        <v>N</v>
      </c>
      <c r="H30" s="1">
        <f>COUNTIF(Tabulka1710132531[[#This Row],[Tým]],"*")</f>
        <v>1</v>
      </c>
      <c r="I30" s="1">
        <f>COUNTIF(Tabulka1710132531[[#This Row],[Výsledný čas]],"NEÚČAST")</f>
        <v>0</v>
      </c>
      <c r="J30" s="1">
        <f>IF(Tabulka1710132531[[#This Row],[Výsledný čas]]="N",998,IF(Tabulka1710132531[[#This Row],[Výsledný čas]]="D",998,IF(Tabulka1710132531[[#This Row],[Výsledný čas]]="","",Tabulka1710132531[[#This Row],[Výsledný čas]])))</f>
        <v>998</v>
      </c>
      <c r="N30" s="68"/>
      <c r="P30" s="7"/>
      <c r="Q30" s="8"/>
      <c r="R30" s="8"/>
      <c r="Z30" s="31">
        <f>IF(OR(Tabulka38111422834[Výsledný čas]="N",Tabulka38111422834[Výsledný čas]="D",Tabulka38111422834[Výsledný čas]="NEÚČAST"),Uvod!$E$6,_xlfn.RANK.EQ(Tabulka38111422834[[#This Row],[ ]],Tabulka38111422834[[ ]],1))</f>
        <v>4</v>
      </c>
      <c r="AA30" s="51" t="s">
        <v>35</v>
      </c>
      <c r="AB30" s="44">
        <f>VLOOKUP(Tabulka38111422834[[#This Row],[Tým]],Tabulka17101363036[[Tým]:[ ]],2,FALSE)</f>
        <v>19.55</v>
      </c>
      <c r="AC30" s="44">
        <f>VLOOKUP(Tabulka38111422834[[#This Row],[Tým]],Tabulka17101363036[[Tým]:[ ]],3,FALSE)</f>
        <v>18.82</v>
      </c>
      <c r="AD30" s="25">
        <f>VLOOKUP(Tabulka38111422834[[#This Row],[Tým]],Tabulka17101363036[[Tým]:[ ]],4,FALSE)</f>
        <v>19.55</v>
      </c>
      <c r="AE30" s="25">
        <f>VLOOKUP(Tabulka38111422834[[#This Row],[Tým]],Tabulka17101363036[[Tým]:[ ]],7,FALSE)</f>
        <v>19.55</v>
      </c>
      <c r="AF30" s="29">
        <f>IF(Tabulka38111422834[[#This Row],[Výsledný čas]]="N",5,IF(Tabulka38111422834[[#This Row],[Výsledný čas]]="D",0,IF(Tabulka38111422834[[#This Row],[Výsledný čas]]="NEÚČAST",0,Tabulka8[[#Totals],[Týmy ženy]]+6-Tabulka38111422834[[#This Row],[Umístění]])))</f>
        <v>12</v>
      </c>
      <c r="AH30" s="31">
        <f>_xlfn.RANK.EQ(Tabulka59121532935[[#This Row],[Body]],Tabulka59121532935[Body],0)</f>
        <v>4</v>
      </c>
      <c r="AI30" s="51" t="s">
        <v>19</v>
      </c>
      <c r="AJ30" s="188">
        <f>VLOOKUP(Tabulka59121532935[[#This Row],[Tým]],Tabulka38111422834[[Tým]:[Body]],6,FALSE)+Tabulka59121532935[[#This Row],[ ]]</f>
        <v>43</v>
      </c>
      <c r="AK30" s="76">
        <f>VLOOKUP(Tabulka59121532935[[#This Row],[Tým]],Tabulka591215329[[Tým]:[Body]],2,FALSE)</f>
        <v>30</v>
      </c>
      <c r="AL30" s="82">
        <f>Tabulka59121532935[[#This Row],[Umístění]]</f>
        <v>4</v>
      </c>
      <c r="AP30" s="1"/>
    </row>
    <row r="31" spans="2:42" ht="24.95" customHeight="1" x14ac:dyDescent="0.4">
      <c r="B31" s="15">
        <v>22</v>
      </c>
      <c r="C31" s="1">
        <f>IF(Tabulka1710132531[[#This Row],[ ]]="","",IF(Tabulka1710132531[[#This Row],[ ]]="NEÚČAST","",IF(OR(Tabulka1710132531[Výsledný čas]="N",Tabulka1710132531[Výsledný čas]="D"),$L$4-$L$5,_xlfn.RANK.EQ(Tabulka1710132531[[#This Row],[ ]],Tabulka1710132531[[ ]],1))))</f>
        <v>28</v>
      </c>
      <c r="D31" s="16" t="s">
        <v>31</v>
      </c>
      <c r="E31" s="1">
        <v>15.88</v>
      </c>
      <c r="F31" s="1">
        <v>16.600000000000001</v>
      </c>
      <c r="G31" s="237" t="s">
        <v>116</v>
      </c>
      <c r="H31" s="1">
        <f>COUNTIF(Tabulka1710132531[[#This Row],[Tým]],"*")</f>
        <v>1</v>
      </c>
      <c r="I31" s="1">
        <f>COUNTIF(Tabulka1710132531[[#This Row],[Výsledný čas]],"NEÚČAST")</f>
        <v>0</v>
      </c>
      <c r="J31" s="1">
        <f>IF(Tabulka1710132531[[#This Row],[Výsledný čas]]="N",998,IF(Tabulka1710132531[[#This Row],[Výsledný čas]]="D",998,IF(Tabulka1710132531[[#This Row],[Výsledný čas]]="","",Tabulka1710132531[[#This Row],[Výsledný čas]])))</f>
        <v>998</v>
      </c>
      <c r="P31" s="7"/>
      <c r="Q31" s="8"/>
      <c r="R31" s="8"/>
      <c r="Z31" s="31">
        <f>IF(OR(Tabulka38111422834[Výsledný čas]="N",Tabulka38111422834[Výsledný čas]="D",Tabulka38111422834[Výsledný čas]="NEÚČAST"),Uvod!$E$6,_xlfn.RANK.EQ(Tabulka38111422834[[#This Row],[ ]],Tabulka38111422834[[ ]],1))</f>
        <v>5</v>
      </c>
      <c r="AA31" s="51" t="s">
        <v>23</v>
      </c>
      <c r="AB31" s="44">
        <f>VLOOKUP(Tabulka38111422834[[#This Row],[Tým]],Tabulka17101363036[[Tým]:[ ]],2,FALSE)</f>
        <v>20.82</v>
      </c>
      <c r="AC31" s="44">
        <f>VLOOKUP(Tabulka38111422834[[#This Row],[Tým]],Tabulka17101363036[[Tým]:[ ]],3,FALSE)</f>
        <v>21.08</v>
      </c>
      <c r="AD31" s="25">
        <f>VLOOKUP(Tabulka38111422834[[#This Row],[Tým]],Tabulka17101363036[[Tým]:[ ]],4,FALSE)</f>
        <v>21.08</v>
      </c>
      <c r="AE31" s="25">
        <f>VLOOKUP(Tabulka38111422834[[#This Row],[Tým]],Tabulka17101363036[[Tým]:[ ]],7,FALSE)</f>
        <v>21.08</v>
      </c>
      <c r="AF31" s="29">
        <f>IF(Tabulka38111422834[[#This Row],[Výsledný čas]]="N",5,IF(Tabulka38111422834[[#This Row],[Výsledný čas]]="D",0,IF(Tabulka38111422834[[#This Row],[Výsledný čas]]="NEÚČAST",0,Tabulka8[[#Totals],[Týmy ženy]]+6-Tabulka38111422834[[#This Row],[Umístění]])))</f>
        <v>11</v>
      </c>
      <c r="AH31" s="31">
        <f>_xlfn.RANK.EQ(Tabulka59121532935[[#This Row],[Body]],Tabulka59121532935[Body],0)</f>
        <v>5</v>
      </c>
      <c r="AI31" s="51" t="s">
        <v>21</v>
      </c>
      <c r="AJ31" s="188">
        <f>VLOOKUP(Tabulka59121532935[[#This Row],[Tým]],Tabulka38111422834[[Tým]:[Body]],6,FALSE)+Tabulka59121532935[[#This Row],[ ]]</f>
        <v>39</v>
      </c>
      <c r="AK31" s="75">
        <f>VLOOKUP(Tabulka59121532935[[#This Row],[Tým]],Tabulka591215329[[Tým]:[Body]],2,FALSE)</f>
        <v>34</v>
      </c>
      <c r="AL31" s="82">
        <f>Tabulka59121532935[[#This Row],[Umístění]]</f>
        <v>5</v>
      </c>
      <c r="AP31" s="1"/>
    </row>
    <row r="32" spans="2:42" ht="24.95" customHeight="1" x14ac:dyDescent="0.4">
      <c r="B32" s="15" t="s">
        <v>103</v>
      </c>
      <c r="C32" s="1" t="str">
        <f>IF(Tabulka1710132531[[#This Row],[ ]]="","",IF(Tabulka1710132531[[#This Row],[ ]]="NEÚČAST","",IF(OR(Tabulka1710132531[Výsledný čas]="N",Tabulka1710132531[Výsledný čas]="D"),$L$4-$L$5,_xlfn.RANK.EQ(Tabulka1710132531[[#This Row],[ ]],Tabulka1710132531[[ ]],1))))</f>
        <v/>
      </c>
      <c r="D32" s="16" t="s">
        <v>17</v>
      </c>
      <c r="E32" s="1" t="s">
        <v>103</v>
      </c>
      <c r="F32" s="1" t="s">
        <v>103</v>
      </c>
      <c r="G32" s="237" t="str">
        <f>IF(OR(Tabulka1710132531[[#This Row],[LP]]="N",Tabulka1710132531[[#This Row],[PP]]="N"),"N",IF(OR(Tabulka1710132531[[#This Row],[LP]]="D",Tabulka1710132531[[#This Row],[PP]]="D"),"D",IF(OR(Tabulka1710132531[[#This Row],[LP]]="NEÚČAST",Tabulka1710132531[[#This Row],[PP]]="NEÚČAST"),"NEÚČAST",IF(OR(Tabulka1710132531[[#This Row],[LP]]="",Tabulka1710132531[[#This Row],[PP]]=""),"",MAX(Tabulka1710132531[[#This Row],[LP]:[PP]])))))</f>
        <v>NEÚČAST</v>
      </c>
      <c r="H32" s="1">
        <f>COUNTIF(Tabulka1710132531[[#This Row],[Tým]],"*")</f>
        <v>1</v>
      </c>
      <c r="I32" s="1">
        <f>COUNTIF(Tabulka1710132531[[#This Row],[Výsledný čas]],"NEÚČAST")</f>
        <v>1</v>
      </c>
      <c r="J32" s="1" t="str">
        <f>IF(Tabulka1710132531[[#This Row],[Výsledný čas]]="N",998,IF(Tabulka1710132531[[#This Row],[Výsledný čas]]="D",998,IF(Tabulka1710132531[[#This Row],[Výsledný čas]]="","",Tabulka1710132531[[#This Row],[Výsledný čas]])))</f>
        <v>NEÚČAST</v>
      </c>
      <c r="P32" s="7"/>
      <c r="Q32" s="8"/>
      <c r="R32" s="8"/>
      <c r="Z32" s="31">
        <f>IF(OR(Tabulka38111422834[Výsledný čas]="N",Tabulka38111422834[Výsledný čas]="D",Tabulka38111422834[Výsledný čas]="NEÚČAST"),Uvod!$E$6,_xlfn.RANK.EQ(Tabulka38111422834[[#This Row],[ ]],Tabulka38111422834[[ ]],1))</f>
        <v>6</v>
      </c>
      <c r="AA32" s="51" t="s">
        <v>36</v>
      </c>
      <c r="AB32" s="44">
        <f>VLOOKUP(Tabulka38111422834[[#This Row],[Tým]],Tabulka17101363036[[Tým]:[ ]],2,FALSE)</f>
        <v>24.04</v>
      </c>
      <c r="AC32" s="44">
        <f>VLOOKUP(Tabulka38111422834[[#This Row],[Tým]],Tabulka17101363036[[Tým]:[ ]],3,FALSE)</f>
        <v>23.47</v>
      </c>
      <c r="AD32" s="25">
        <f>VLOOKUP(Tabulka38111422834[[#This Row],[Tým]],Tabulka17101363036[[Tým]:[ ]],4,FALSE)</f>
        <v>24.04</v>
      </c>
      <c r="AE32" s="25">
        <f>VLOOKUP(Tabulka38111422834[[#This Row],[Tým]],Tabulka17101363036[[Tým]:[ ]],7,FALSE)</f>
        <v>24.04</v>
      </c>
      <c r="AF32" s="29">
        <f>IF(Tabulka38111422834[[#This Row],[Výsledný čas]]="N",5,IF(Tabulka38111422834[[#This Row],[Výsledný čas]]="D",0,IF(Tabulka38111422834[[#This Row],[Výsledný čas]]="NEÚČAST",0,Tabulka8[[#Totals],[Týmy ženy]]+6-Tabulka38111422834[[#This Row],[Umístění]])))</f>
        <v>10</v>
      </c>
      <c r="AH32" s="31">
        <f>_xlfn.RANK.EQ(Tabulka59121532935[[#This Row],[Body]],Tabulka59121532935[Body],0)</f>
        <v>6</v>
      </c>
      <c r="AI32" s="51" t="s">
        <v>36</v>
      </c>
      <c r="AJ32" s="188">
        <f>VLOOKUP(Tabulka59121532935[[#This Row],[Tým]],Tabulka38111422834[[Tým]:[Body]],6,FALSE)+Tabulka59121532935[[#This Row],[ ]]</f>
        <v>36</v>
      </c>
      <c r="AK32" s="75">
        <f>VLOOKUP(Tabulka59121532935[[#This Row],[Tým]],Tabulka591215329[[Tým]:[Body]],2,FALSE)</f>
        <v>26</v>
      </c>
      <c r="AL32" s="82">
        <f>Tabulka59121532935[[#This Row],[Umístění]]</f>
        <v>6</v>
      </c>
      <c r="AP32" s="1"/>
    </row>
    <row r="33" spans="4:42" ht="24.95" customHeight="1" x14ac:dyDescent="0.4">
      <c r="D33" s="16"/>
      <c r="P33" s="7"/>
      <c r="Q33" s="8"/>
      <c r="R33" s="8"/>
      <c r="Z33" s="31">
        <f>IF(OR(Tabulka38111422834[Výsledný čas]="N",Tabulka38111422834[Výsledný čas]="D",Tabulka38111422834[Výsledný čas]="NEÚČAST"),Uvod!$E$6,_xlfn.RANK.EQ(Tabulka38111422834[[#This Row],[ ]],Tabulka38111422834[[ ]],1))</f>
        <v>7</v>
      </c>
      <c r="AA33" s="51" t="s">
        <v>24</v>
      </c>
      <c r="AB33" s="44">
        <f>VLOOKUP(Tabulka38111422834[[#This Row],[Tým]],Tabulka17101363036[[Tým]:[ ]],2,FALSE)</f>
        <v>41.61</v>
      </c>
      <c r="AC33" s="44">
        <f>VLOOKUP(Tabulka38111422834[[#This Row],[Tým]],Tabulka17101363036[[Tým]:[ ]],3,FALSE)</f>
        <v>41.85</v>
      </c>
      <c r="AD33" s="25">
        <f>VLOOKUP(Tabulka38111422834[[#This Row],[Tým]],Tabulka17101363036[[Tým]:[ ]],4,FALSE)</f>
        <v>41.85</v>
      </c>
      <c r="AE33" s="25">
        <f>VLOOKUP(Tabulka38111422834[[#This Row],[Tým]],Tabulka17101363036[[Tým]:[ ]],7,FALSE)</f>
        <v>41.85</v>
      </c>
      <c r="AF33" s="29">
        <f>IF(Tabulka38111422834[[#This Row],[Výsledný čas]]="N",5,IF(Tabulka38111422834[[#This Row],[Výsledný čas]]="D",0,IF(Tabulka38111422834[[#This Row],[Výsledný čas]]="NEÚČAST",0,Tabulka8[[#Totals],[Týmy ženy]]+6-Tabulka38111422834[[#This Row],[Umístění]])))</f>
        <v>9</v>
      </c>
      <c r="AH33" s="31">
        <f>_xlfn.RANK.EQ(Tabulka59121532935[[#This Row],[Body]],Tabulka59121532935[Body],0)</f>
        <v>7</v>
      </c>
      <c r="AI33" s="51" t="s">
        <v>23</v>
      </c>
      <c r="AJ33" s="188">
        <f>VLOOKUP(Tabulka59121532935[[#This Row],[Tým]],Tabulka38111422834[[Tým]:[Body]],6,FALSE)+Tabulka59121532935[[#This Row],[ ]]</f>
        <v>35</v>
      </c>
      <c r="AK33" s="75">
        <f>VLOOKUP(Tabulka59121532935[[#This Row],[Tým]],Tabulka591215329[[Tým]:[Body]],2,FALSE)</f>
        <v>24</v>
      </c>
      <c r="AL33" s="82">
        <f>Tabulka59121532935[[#This Row],[Umístění]]</f>
        <v>7</v>
      </c>
      <c r="AP33" s="1"/>
    </row>
    <row r="34" spans="4:42" ht="24.95" customHeight="1" x14ac:dyDescent="0.4">
      <c r="D34" s="16"/>
      <c r="N34" s="70"/>
      <c r="P34" s="7"/>
      <c r="Q34" s="8"/>
      <c r="R34" s="8"/>
      <c r="Z34" s="31">
        <f>IF(OR(Tabulka38111422834[Výsledný čas]="N",Tabulka38111422834[Výsledný čas]="D",Tabulka38111422834[Výsledný čas]="NEÚČAST"),Uvod!$E$6,_xlfn.RANK.EQ(Tabulka38111422834[[#This Row],[ ]],Tabulka38111422834[[ ]],1))</f>
        <v>10</v>
      </c>
      <c r="AA34" s="51" t="s">
        <v>21</v>
      </c>
      <c r="AB34" s="44" t="str">
        <f>VLOOKUP(Tabulka38111422834[[#This Row],[Tým]],Tabulka17101363036[[Tým]:[ ]],2,FALSE)</f>
        <v>N</v>
      </c>
      <c r="AC34" s="44">
        <f>VLOOKUP(Tabulka38111422834[[#This Row],[Tým]],Tabulka17101363036[[Tým]:[ ]],3,FALSE)</f>
        <v>21.73</v>
      </c>
      <c r="AD34" s="25" t="str">
        <f>VLOOKUP(Tabulka38111422834[[#This Row],[Tým]],Tabulka17101363036[[Tým]:[ ]],4,FALSE)</f>
        <v>N</v>
      </c>
      <c r="AE34" s="25">
        <f>VLOOKUP(Tabulka38111422834[[#This Row],[Tým]],Tabulka17101363036[[Tým]:[ ]],7,FALSE)</f>
        <v>998</v>
      </c>
      <c r="AF34" s="29">
        <f>IF(Tabulka38111422834[[#This Row],[Výsledný čas]]="N",5,IF(Tabulka38111422834[[#This Row],[Výsledný čas]]="D",0,IF(Tabulka38111422834[[#This Row],[Výsledný čas]]="NEÚČAST",0,Tabulka8[[#Totals],[Týmy ženy]]+6-Tabulka38111422834[[#This Row],[Umístění]])))</f>
        <v>5</v>
      </c>
      <c r="AH34" s="31">
        <f>_xlfn.RANK.EQ(Tabulka59121532935[[#This Row],[Body]],Tabulka59121532935[Body],0)</f>
        <v>8</v>
      </c>
      <c r="AI34" s="51" t="s">
        <v>15</v>
      </c>
      <c r="AJ34" s="188">
        <f>VLOOKUP(Tabulka59121532935[[#This Row],[Tým]],Tabulka38111422834[[Tým]:[Body]],6,FALSE)+Tabulka59121532935[[#This Row],[ ]]</f>
        <v>33</v>
      </c>
      <c r="AK34" s="75">
        <f>VLOOKUP(Tabulka59121532935[[#This Row],[Tým]],Tabulka591215329[[Tým]:[Body]],2,FALSE)</f>
        <v>28</v>
      </c>
      <c r="AL34" s="82">
        <f>Tabulka59121532935[[#This Row],[Umístění]]</f>
        <v>8</v>
      </c>
      <c r="AP34" s="1"/>
    </row>
    <row r="35" spans="4:42" ht="24.95" customHeight="1" x14ac:dyDescent="0.4">
      <c r="D35" s="16"/>
      <c r="N35" s="70"/>
      <c r="P35" s="7"/>
      <c r="Q35" s="8"/>
      <c r="R35" s="8"/>
      <c r="Z35" s="31">
        <f>IF(OR(Tabulka38111422834[Výsledný čas]="N",Tabulka38111422834[Výsledný čas]="D",Tabulka38111422834[Výsledný čas]="NEÚČAST"),Uvod!$E$6,_xlfn.RANK.EQ(Tabulka38111422834[[#This Row],[ ]],Tabulka38111422834[[ ]],1))</f>
        <v>10</v>
      </c>
      <c r="AA35" s="51" t="s">
        <v>15</v>
      </c>
      <c r="AB35" s="44" t="str">
        <f>VLOOKUP(Tabulka38111422834[[#This Row],[Tým]],Tabulka17101363036[[Tým]:[ ]],2,FALSE)</f>
        <v>N</v>
      </c>
      <c r="AC35" s="44" t="str">
        <f>VLOOKUP(Tabulka38111422834[[#This Row],[Tým]],Tabulka17101363036[[Tým]:[ ]],3,FALSE)</f>
        <v>N</v>
      </c>
      <c r="AD35" s="25" t="str">
        <f>VLOOKUP(Tabulka38111422834[[#This Row],[Tým]],Tabulka17101363036[[Tým]:[ ]],4,FALSE)</f>
        <v>N</v>
      </c>
      <c r="AE35" s="25">
        <f>VLOOKUP(Tabulka38111422834[[#This Row],[Tým]],Tabulka17101363036[[Tým]:[ ]],7,FALSE)</f>
        <v>998</v>
      </c>
      <c r="AF35" s="29">
        <f>IF(Tabulka38111422834[[#This Row],[Výsledný čas]]="N",5,IF(Tabulka38111422834[[#This Row],[Výsledný čas]]="D",0,IF(Tabulka38111422834[[#This Row],[Výsledný čas]]="NEÚČAST",0,Tabulka8[[#Totals],[Týmy ženy]]+6-Tabulka38111422834[[#This Row],[Umístění]])))</f>
        <v>5</v>
      </c>
      <c r="AH35" s="31">
        <f>_xlfn.RANK.EQ(Tabulka59121532935[[#This Row],[Body]],Tabulka59121532935[Body],0)</f>
        <v>9</v>
      </c>
      <c r="AI35" s="51" t="s">
        <v>16</v>
      </c>
      <c r="AJ35" s="188">
        <f>VLOOKUP(Tabulka59121532935[[#This Row],[Tým]],Tabulka38111422834[[Tým]:[Body]],6,FALSE)+Tabulka59121532935[[#This Row],[ ]]</f>
        <v>27</v>
      </c>
      <c r="AK35" s="75">
        <f>VLOOKUP(Tabulka59121532935[[#This Row],[Tým]],Tabulka591215329[[Tým]:[Body]],2,FALSE)</f>
        <v>22</v>
      </c>
      <c r="AL35" s="82">
        <f>Tabulka59121532935[[#This Row],[Umístění]]</f>
        <v>9</v>
      </c>
      <c r="AP35" s="1"/>
    </row>
    <row r="36" spans="4:42" ht="24.95" customHeight="1" thickBot="1" x14ac:dyDescent="0.45">
      <c r="D36" s="16"/>
      <c r="P36" s="7"/>
      <c r="Q36" s="8"/>
      <c r="R36" s="8"/>
      <c r="Z36" s="33">
        <f>IF(OR(Tabulka38111422834[Výsledný čas]="N",Tabulka38111422834[Výsledný čas]="D",Tabulka38111422834[Výsledný čas]="NEÚČAST"),Uvod!$E$6,_xlfn.RANK.EQ(Tabulka38111422834[[#This Row],[ ]],Tabulka38111422834[[ ]],1))</f>
        <v>10</v>
      </c>
      <c r="AA36" s="62" t="s">
        <v>16</v>
      </c>
      <c r="AB36" s="45">
        <f>VLOOKUP(Tabulka38111422834[[#This Row],[Tým]],Tabulka17101363036[[Tým]:[ ]],2,FALSE)</f>
        <v>30.9</v>
      </c>
      <c r="AC36" s="45" t="str">
        <f>VLOOKUP(Tabulka38111422834[[#This Row],[Tým]],Tabulka17101363036[[Tým]:[ ]],3,FALSE)</f>
        <v>N</v>
      </c>
      <c r="AD36" s="34" t="str">
        <f>VLOOKUP(Tabulka38111422834[[#This Row],[Tým]],Tabulka17101363036[[Tým]:[ ]],4,FALSE)</f>
        <v>N</v>
      </c>
      <c r="AE36" s="34">
        <f>VLOOKUP(Tabulka38111422834[[#This Row],[Tým]],Tabulka17101363036[[Tým]:[ ]],7,FALSE)</f>
        <v>998</v>
      </c>
      <c r="AF36" s="36">
        <f>IF(Tabulka38111422834[[#This Row],[Výsledný čas]]="N",5,IF(Tabulka38111422834[[#This Row],[Výsledný čas]]="D",0,IF(Tabulka38111422834[[#This Row],[Výsledný čas]]="NEÚČAST",0,Tabulka8[[#Totals],[Týmy ženy]]+6-Tabulka38111422834[[#This Row],[Umístění]])))</f>
        <v>5</v>
      </c>
      <c r="AH36" s="33">
        <f>_xlfn.RANK.EQ(Tabulka59121532935[[#This Row],[Body]],Tabulka59121532935[Body],0)</f>
        <v>10</v>
      </c>
      <c r="AI36" s="62" t="s">
        <v>24</v>
      </c>
      <c r="AJ36" s="189">
        <f>VLOOKUP(Tabulka59121532935[[#This Row],[Tým]],Tabulka38111422834[[Tým]:[Body]],6,FALSE)+Tabulka59121532935[[#This Row],[ ]]</f>
        <v>26</v>
      </c>
      <c r="AK36" s="76">
        <f>VLOOKUP(Tabulka59121532935[[#This Row],[Tým]],Tabulka591215329[[Tým]:[Body]],2,FALSE)</f>
        <v>17</v>
      </c>
      <c r="AL36" s="114">
        <f>Tabulka59121532935[[#This Row],[Umístění]]</f>
        <v>10</v>
      </c>
      <c r="AP36" s="1"/>
    </row>
    <row r="37" spans="4:42" ht="24.95" customHeight="1" x14ac:dyDescent="0.4">
      <c r="D37" s="16"/>
      <c r="P37" s="7"/>
      <c r="Q37" s="8"/>
      <c r="R37" s="8"/>
      <c r="AB37" s="3"/>
      <c r="AC37" s="3"/>
      <c r="AK37" s="4"/>
    </row>
    <row r="38" spans="4:42" ht="24.95" customHeight="1" x14ac:dyDescent="0.4">
      <c r="D38" s="16"/>
      <c r="P38" s="7"/>
      <c r="Q38" s="8"/>
      <c r="R38" s="8"/>
      <c r="AB38" s="3"/>
      <c r="AC38" s="3"/>
      <c r="AK38" s="4"/>
    </row>
    <row r="39" spans="4:42" ht="24.95" customHeight="1" x14ac:dyDescent="0.4">
      <c r="D39" s="16"/>
      <c r="N39" s="68"/>
      <c r="P39" s="7"/>
      <c r="Q39" s="8"/>
      <c r="R39" s="8"/>
      <c r="AB39" s="3"/>
      <c r="AC39" s="3"/>
      <c r="AK39" s="4"/>
    </row>
    <row r="40" spans="4:42" ht="24.95" customHeight="1" x14ac:dyDescent="0.4">
      <c r="D40" s="16"/>
      <c r="N40" s="68"/>
      <c r="P40" s="7"/>
      <c r="Q40" s="8"/>
      <c r="R40" s="8"/>
      <c r="AB40" s="3"/>
      <c r="AC40" s="3"/>
      <c r="AK40" s="4"/>
    </row>
    <row r="41" spans="4:42" ht="24.95" customHeight="1" x14ac:dyDescent="0.4">
      <c r="D41" s="16"/>
      <c r="P41" s="7"/>
      <c r="Q41" s="8"/>
      <c r="R41" s="8"/>
      <c r="AB41" s="3"/>
      <c r="AC41" s="3"/>
      <c r="AK41" s="4"/>
    </row>
    <row r="42" spans="4:42" ht="24.95" customHeight="1" x14ac:dyDescent="0.4">
      <c r="D42" s="16"/>
      <c r="P42" s="7"/>
      <c r="Q42" s="8"/>
      <c r="R42" s="8"/>
      <c r="AB42" s="3"/>
      <c r="AC42" s="3"/>
      <c r="AK42" s="4"/>
    </row>
    <row r="43" spans="4:42" ht="24.95" customHeight="1" x14ac:dyDescent="0.4">
      <c r="D43" s="16"/>
      <c r="P43" s="7"/>
      <c r="Q43" s="8"/>
      <c r="R43" s="8"/>
      <c r="AB43" s="3"/>
      <c r="AC43" s="3"/>
      <c r="AK43" s="4"/>
    </row>
    <row r="44" spans="4:42" ht="24.95" customHeight="1" x14ac:dyDescent="0.4">
      <c r="D44" s="16"/>
      <c r="N44" s="68"/>
      <c r="P44" s="7"/>
      <c r="Q44" s="8"/>
      <c r="R44" s="8"/>
    </row>
    <row r="45" spans="4:42" ht="24.95" customHeight="1" x14ac:dyDescent="0.4">
      <c r="D45" s="16"/>
      <c r="N45" s="68"/>
      <c r="P45" s="7"/>
      <c r="Q45" s="8"/>
      <c r="R45" s="8"/>
    </row>
    <row r="46" spans="4:42" ht="24.95" customHeight="1" x14ac:dyDescent="0.4">
      <c r="D46" s="16"/>
      <c r="P46" s="7"/>
      <c r="Q46" s="8"/>
      <c r="R46" s="8"/>
    </row>
    <row r="47" spans="4:42" ht="24.95" customHeight="1" x14ac:dyDescent="0.4">
      <c r="D47" s="16"/>
      <c r="P47" s="7"/>
      <c r="Q47" s="8"/>
      <c r="R47" s="8"/>
    </row>
    <row r="48" spans="4:42" ht="24.95" customHeight="1" x14ac:dyDescent="0.4">
      <c r="D48" s="16"/>
      <c r="P48" s="7"/>
      <c r="Q48" s="8"/>
      <c r="R48" s="8"/>
    </row>
    <row r="49" spans="4:16" ht="24.95" customHeight="1" x14ac:dyDescent="0.4">
      <c r="D49" s="16"/>
      <c r="P49" s="16"/>
    </row>
    <row r="50" spans="4:16" ht="24.95" customHeight="1" x14ac:dyDescent="0.4">
      <c r="D50" s="16"/>
      <c r="P50" s="16"/>
    </row>
    <row r="51" spans="4:16" ht="24.95" customHeight="1" x14ac:dyDescent="0.4">
      <c r="D51" s="16"/>
      <c r="P51" s="16"/>
    </row>
    <row r="52" spans="4:16" ht="24.95" customHeight="1" x14ac:dyDescent="0.4">
      <c r="D52" s="16"/>
      <c r="P52" s="16"/>
    </row>
    <row r="53" spans="4:16" ht="24.95" customHeight="1" x14ac:dyDescent="0.4">
      <c r="D53" s="16"/>
      <c r="P53" s="16"/>
    </row>
    <row r="54" spans="4:16" x14ac:dyDescent="0.4">
      <c r="D54" s="16"/>
    </row>
  </sheetData>
  <mergeCells count="6">
    <mergeCell ref="B2:J2"/>
    <mergeCell ref="N2:V2"/>
    <mergeCell ref="Z2:AF2"/>
    <mergeCell ref="AH2:AK2"/>
    <mergeCell ref="Z25:AF25"/>
    <mergeCell ref="AH25:AK25"/>
  </mergeCells>
  <phoneticPr fontId="12" type="noConversion"/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3466D-2C20-49FE-9401-961A8740471D}">
  <dimension ref="A1:AP59"/>
  <sheetViews>
    <sheetView showGridLines="0" zoomScale="55" zoomScaleNormal="55" workbookViewId="0">
      <selection activeCell="G32" sqref="G32"/>
    </sheetView>
  </sheetViews>
  <sheetFormatPr defaultRowHeight="26.25" x14ac:dyDescent="0.4"/>
  <cols>
    <col min="1" max="1" width="5.7109375" style="1" customWidth="1"/>
    <col min="2" max="3" width="16.7109375" style="1" customWidth="1"/>
    <col min="4" max="4" width="35.7109375" style="1" customWidth="1"/>
    <col min="5" max="6" width="16.7109375" style="1" customWidth="1"/>
    <col min="7" max="7" width="20.7109375" style="1" customWidth="1"/>
    <col min="8" max="9" width="20.7109375" style="1" hidden="1" customWidth="1"/>
    <col min="10" max="12" width="11.5703125" style="1" hidden="1" customWidth="1"/>
    <col min="13" max="13" width="10.7109375" style="1" customWidth="1"/>
    <col min="14" max="15" width="16.7109375" style="1" customWidth="1"/>
    <col min="16" max="16" width="35.7109375" style="1" customWidth="1"/>
    <col min="17" max="18" width="16.7109375" style="1" customWidth="1"/>
    <col min="19" max="19" width="20.7109375" style="1" customWidth="1"/>
    <col min="20" max="21" width="20.7109375" style="1" hidden="1" customWidth="1"/>
    <col min="22" max="24" width="13.7109375" style="1" hidden="1" customWidth="1"/>
    <col min="25" max="25" width="9.140625" style="1"/>
    <col min="26" max="26" width="16.7109375" style="1" customWidth="1"/>
    <col min="27" max="27" width="35.7109375" style="1" customWidth="1"/>
    <col min="28" max="29" width="16.7109375" style="1" customWidth="1"/>
    <col min="30" max="30" width="20.7109375" style="1" customWidth="1"/>
    <col min="31" max="31" width="13.7109375" style="1" hidden="1" customWidth="1"/>
    <col min="32" max="32" width="12.7109375" style="1" customWidth="1"/>
    <col min="33" max="33" width="9.140625" style="1"/>
    <col min="34" max="34" width="16.7109375" style="1" customWidth="1"/>
    <col min="35" max="35" width="35.7109375" style="1" customWidth="1"/>
    <col min="36" max="36" width="12.7109375" style="1" customWidth="1"/>
    <col min="37" max="38" width="34.42578125" style="1" hidden="1" customWidth="1"/>
    <col min="39" max="41" width="9.140625" style="1"/>
    <col min="42" max="16384" width="9.140625" style="2"/>
  </cols>
  <sheetData>
    <row r="1" spans="1:42" ht="24.95" customHeight="1" thickBot="1" x14ac:dyDescent="0.45"/>
    <row r="2" spans="1:42" ht="24.95" customHeight="1" x14ac:dyDescent="0.4">
      <c r="A2" s="9"/>
      <c r="B2" s="317" t="str">
        <f>"Výsledky - Soutěže "&amp;Uvod!A7&amp;" kola NHHL "&amp;TEXT(Uvod!B7,"d.m. rrrr")&amp;" "&amp;Uvod!C7&amp;" - MUŽI "</f>
        <v xml:space="preserve">Výsledky - Soutěže 5. kola NHHL 23.6. 2023 Bělá - MUŽI </v>
      </c>
      <c r="C2" s="318"/>
      <c r="D2" s="318"/>
      <c r="E2" s="318"/>
      <c r="F2" s="318"/>
      <c r="G2" s="318"/>
      <c r="H2" s="318"/>
      <c r="I2" s="318"/>
      <c r="J2" s="319"/>
      <c r="K2" s="177"/>
      <c r="L2" s="177"/>
      <c r="M2" s="15"/>
      <c r="N2" s="308" t="str">
        <f>"Výsledky - Soutěže "&amp;Uvod!A7&amp;" kola NHHL "&amp;TEXT(Uvod!B7,"d.m. rrrr")&amp;" "&amp;Uvod!C7&amp;" - ŽENY "</f>
        <v xml:space="preserve">Výsledky - Soutěže 5. kola NHHL 23.6. 2023 Bělá - ŽENY </v>
      </c>
      <c r="O2" s="309"/>
      <c r="P2" s="309"/>
      <c r="Q2" s="309"/>
      <c r="R2" s="309"/>
      <c r="S2" s="309"/>
      <c r="T2" s="320"/>
      <c r="U2" s="320"/>
      <c r="V2" s="310"/>
      <c r="W2" s="180"/>
      <c r="X2" s="180"/>
      <c r="Y2" s="15"/>
      <c r="Z2" s="324" t="str">
        <f>B2</f>
        <v xml:space="preserve">Výsledky - Soutěže 5. kola NHHL 23.6. 2023 Bělá - MUŽI </v>
      </c>
      <c r="AA2" s="325"/>
      <c r="AB2" s="325"/>
      <c r="AC2" s="325"/>
      <c r="AD2" s="325"/>
      <c r="AE2" s="325"/>
      <c r="AF2" s="326"/>
      <c r="AH2" s="324" t="s">
        <v>28</v>
      </c>
      <c r="AI2" s="325"/>
      <c r="AJ2" s="325"/>
      <c r="AK2" s="327"/>
      <c r="AL2" s="15"/>
      <c r="AM2" s="15"/>
    </row>
    <row r="3" spans="1:42" ht="24.95" customHeight="1" thickBot="1" x14ac:dyDescent="0.45">
      <c r="B3" s="165" t="s">
        <v>0</v>
      </c>
      <c r="C3" s="166" t="s">
        <v>1</v>
      </c>
      <c r="D3" s="166" t="s">
        <v>2</v>
      </c>
      <c r="E3" s="166" t="s">
        <v>3</v>
      </c>
      <c r="F3" s="166" t="s">
        <v>4</v>
      </c>
      <c r="G3" s="167" t="s">
        <v>5</v>
      </c>
      <c r="H3" s="166" t="s">
        <v>73</v>
      </c>
      <c r="I3" s="166" t="s">
        <v>74</v>
      </c>
      <c r="J3" s="20" t="s">
        <v>27</v>
      </c>
      <c r="N3" s="285" t="s">
        <v>0</v>
      </c>
      <c r="O3" s="286" t="s">
        <v>1</v>
      </c>
      <c r="P3" s="286" t="s">
        <v>2</v>
      </c>
      <c r="Q3" s="286" t="s">
        <v>3</v>
      </c>
      <c r="R3" s="286" t="s">
        <v>4</v>
      </c>
      <c r="S3" s="286" t="s">
        <v>5</v>
      </c>
      <c r="T3" s="287" t="s">
        <v>73</v>
      </c>
      <c r="U3" s="287" t="s">
        <v>74</v>
      </c>
      <c r="V3" s="36" t="s">
        <v>27</v>
      </c>
      <c r="Y3" s="15"/>
      <c r="Z3" s="58" t="s">
        <v>1</v>
      </c>
      <c r="AA3" s="59" t="s">
        <v>2</v>
      </c>
      <c r="AB3" s="59" t="s">
        <v>3</v>
      </c>
      <c r="AC3" s="59" t="s">
        <v>4</v>
      </c>
      <c r="AD3" s="59" t="s">
        <v>5</v>
      </c>
      <c r="AE3" s="59" t="s">
        <v>27</v>
      </c>
      <c r="AF3" s="60" t="s">
        <v>7</v>
      </c>
      <c r="AH3" s="58" t="s">
        <v>1</v>
      </c>
      <c r="AI3" s="59" t="s">
        <v>2</v>
      </c>
      <c r="AJ3" s="59" t="s">
        <v>7</v>
      </c>
      <c r="AK3" s="46" t="s">
        <v>27</v>
      </c>
      <c r="AL3" s="94" t="s">
        <v>73</v>
      </c>
      <c r="AM3" s="15"/>
      <c r="AP3" s="1"/>
    </row>
    <row r="4" spans="1:42" ht="24.95" customHeight="1" x14ac:dyDescent="0.45">
      <c r="B4" s="6" t="s">
        <v>62</v>
      </c>
      <c r="C4" s="1">
        <f>IF(Tabulka171013253137[[#This Row],[ ]]="","",IF(Tabulka171013253137[[#This Row],[ ]]="NEÚČAST","",IF(OR(Tabulka171013253137[Výsledný čas]="N",Tabulka171013253137[Výsledný čas]="D"),$L$4-$L$5,_xlfn.RANK.EQ(Tabulka171013253137[[#This Row],[ ]],Tabulka171013253137[[ ]],1))))</f>
        <v>1</v>
      </c>
      <c r="D4" s="288" t="s">
        <v>30</v>
      </c>
      <c r="E4" s="289">
        <v>14.86</v>
      </c>
      <c r="F4" s="289">
        <v>14.956</v>
      </c>
      <c r="G4" s="9">
        <f>IF(OR(Tabulka171013253137[[#This Row],[LP]]="N",Tabulka171013253137[[#This Row],[PP]]="N"),"N",IF(OR(Tabulka171013253137[[#This Row],[LP]]="D",Tabulka171013253137[[#This Row],[PP]]="D"),"D",IF(OR(Tabulka171013253137[[#This Row],[LP]]="NEÚČAST",Tabulka171013253137[[#This Row],[PP]]="NEÚČAST"),"NEÚČAST",IF(OR(Tabulka171013253137[[#This Row],[LP]]="",Tabulka171013253137[[#This Row],[PP]]=""),"",MAX(Tabulka171013253137[[#This Row],[LP]:[PP]])))))</f>
        <v>14.956</v>
      </c>
      <c r="H4" s="1">
        <f>COUNTIF(Tabulka171013253137[[#This Row],[Tým]],"*")</f>
        <v>1</v>
      </c>
      <c r="I4" s="1">
        <f>COUNTIF(Tabulka171013253137[[#This Row],[Výsledný čas]],"NEÚČAST")</f>
        <v>0</v>
      </c>
      <c r="J4" s="1">
        <f>IF(Tabulka171013253137[[#This Row],[Výsledný čas]]="N",998,IF(Tabulka171013253137[[#This Row],[Výsledný čas]]="D",998,IF(Tabulka171013253137[[#This Row],[Výsledný čas]]="","",Tabulka171013253137[[#This Row],[Výsledný čas]])))</f>
        <v>14.956</v>
      </c>
      <c r="L4" s="1">
        <f>SUM(Tabulka171013253137[Sloupec1])</f>
        <v>23</v>
      </c>
      <c r="N4" s="280" t="s">
        <v>51</v>
      </c>
      <c r="O4" s="281">
        <f>IF(Tabulka1710136303642[[#This Row],[ ]]="","",IF(Tabulka1710136303642[[#This Row],[ ]]="NEÚČAST","",IF(OR(Tabulka1710136303642[Výsledný čas]="N",Tabulka1710136303642[Výsledný čas]="D"),$X$4-$X$5,_xlfn.RANK.EQ(Tabulka1710136303642[[#This Row],[ ]],Tabulka1710136303642[[ ]],1))))</f>
        <v>1</v>
      </c>
      <c r="P4" s="282" t="s">
        <v>22</v>
      </c>
      <c r="Q4" s="283">
        <v>16.742999999999999</v>
      </c>
      <c r="R4" s="283">
        <v>17.300999999999998</v>
      </c>
      <c r="S4" s="281">
        <f>IF(OR(Tabulka1710136303642[[#This Row],[LP]]="N",Tabulka1710136303642[[#This Row],[PP]]="N"),"N",IF(OR(Tabulka1710136303642[[#This Row],[LP]]="D",Tabulka1710136303642[[#This Row],[PP]]="D"),"D",IF(OR(Tabulka1710136303642[[#This Row],[LP]]="NEÚČAST",Tabulka1710136303642[[#This Row],[PP]]="NEÚČAST"),"NEÚČAST",IF(OR(Tabulka1710136303642[[#This Row],[LP]]="",Tabulka1710136303642[[#This Row],[PP]]=""),"",MAX(Tabulka1710136303642[[#This Row],[LP]:[PP]])))))</f>
        <v>17.300999999999998</v>
      </c>
      <c r="T4" s="284">
        <f>COUNTIF(Tabulka1710136303642[[#This Row],[Tým]],"*")</f>
        <v>1</v>
      </c>
      <c r="U4" s="284">
        <f>COUNTIF(Tabulka1710136303642[[#This Row],[Výsledný čas]],"NEÚČAST")</f>
        <v>0</v>
      </c>
      <c r="V4" s="228">
        <f>IF(Tabulka1710136303642[[#This Row],[Výsledný čas]]="N",998,IF(Tabulka1710136303642[[#This Row],[Výsledný čas]]="D",998,IF(Tabulka1710136303642[[#This Row],[Výsledný čas]]="","",Tabulka1710136303642[[#This Row],[Výsledný čas]])))</f>
        <v>17.300999999999998</v>
      </c>
      <c r="X4" s="1">
        <f>SUM(Tabulka1710136303642[Sloupec1])</f>
        <v>15</v>
      </c>
      <c r="Y4" s="15"/>
      <c r="Z4" s="77">
        <f>IF(OR(Tabulka381114263238[Výsledný čas]="N",Tabulka381114263238[Výsledný čas]="D",Tabulka381114263238[Výsledný čas]="NEÚČAST"),Uvod!$E$4,_xlfn.RANK.EQ(Tabulka381114263238[[#This Row],[ ]],Tabulka381114263238[[ ]],1))</f>
        <v>1</v>
      </c>
      <c r="AA4" s="78" t="s">
        <v>30</v>
      </c>
      <c r="AB4" s="79">
        <f>VLOOKUP(Tabulka381114263238[[#This Row],[Tým]],Tabulka171013253137[[Tým]:[ ]],2,FALSE)</f>
        <v>14.86</v>
      </c>
      <c r="AC4" s="79">
        <f>VLOOKUP(Tabulka381114263238[[#This Row],[Tým]],Tabulka171013253137[[Tým]:[ ]],3,FALSE)</f>
        <v>14.956</v>
      </c>
      <c r="AD4" s="80">
        <f>VLOOKUP(Tabulka381114263238[[#This Row],[Tým]],Tabulka171013253137[[Tým]:[ ]],4,FALSE)</f>
        <v>14.956</v>
      </c>
      <c r="AE4" s="80">
        <f>VLOOKUP(Tabulka381114263238[[#This Row],[Tým]],Tabulka171013253137[[Tým]:[ ]],7,FALSE)</f>
        <v>14.956</v>
      </c>
      <c r="AF4" s="81">
        <f>IF(Tabulka381114263238[[#This Row],[Výsledný čas]]="N",5,IF(Tabulka381114263238[[#This Row],[Výsledný čas]]="D",0,IF(Tabulka381114263238[[#This Row],[Výsledný čas]]="NEÚČAST",0,Tabulka4[[#Totals],[Týmy muži]]+6-Tabulka381114263238[[#This Row],[Umístění]])))</f>
        <v>24</v>
      </c>
      <c r="AH4" s="77">
        <f>_xlfn.RANK.EQ(Tabulka591215273339[[#This Row],[Body]],Tabulka591215273339[Body],0)</f>
        <v>1</v>
      </c>
      <c r="AI4" s="78" t="s">
        <v>19</v>
      </c>
      <c r="AJ4" s="81">
        <f>VLOOKUP(Tabulka591215273339[[#This Row],[Tým]],Tabulka381114263238[[Tým]:[Body]],6,FALSE)+Tabulka591215273339[[#This Row],[ ]]</f>
        <v>114</v>
      </c>
      <c r="AK4" s="82">
        <f>VLOOKUP(Tabulka591215273339[[#This Row],[Tým]],Tabulka5912152733[[Tým]:[Body]],2,FALSE)</f>
        <v>96</v>
      </c>
      <c r="AL4" s="92">
        <f>Tabulka591215273339[[#This Row],[Umístění]]</f>
        <v>1</v>
      </c>
      <c r="AM4" s="15"/>
      <c r="AP4" s="1"/>
    </row>
    <row r="5" spans="1:42" ht="24.95" customHeight="1" x14ac:dyDescent="0.45">
      <c r="B5" s="6" t="s">
        <v>44</v>
      </c>
      <c r="C5" s="1">
        <f>IF(Tabulka171013253137[[#This Row],[ ]]="","",IF(Tabulka171013253137[[#This Row],[ ]]="NEÚČAST","",IF(OR(Tabulka171013253137[Výsledný čas]="N",Tabulka171013253137[Výsledný čas]="D"),$L$4-$L$5,_xlfn.RANK.EQ(Tabulka171013253137[[#This Row],[ ]],Tabulka171013253137[[ ]],1))))</f>
        <v>2</v>
      </c>
      <c r="D5" s="162" t="s">
        <v>23</v>
      </c>
      <c r="E5" s="120">
        <v>15.308999999999999</v>
      </c>
      <c r="F5" s="120">
        <v>14.353999999999999</v>
      </c>
      <c r="G5" s="9">
        <f>IF(OR(Tabulka171013253137[[#This Row],[LP]]="N",Tabulka171013253137[[#This Row],[PP]]="N"),"N",IF(OR(Tabulka171013253137[[#This Row],[LP]]="D",Tabulka171013253137[[#This Row],[PP]]="D"),"D",IF(OR(Tabulka171013253137[[#This Row],[LP]]="NEÚČAST",Tabulka171013253137[[#This Row],[PP]]="NEÚČAST"),"NEÚČAST",IF(OR(Tabulka171013253137[[#This Row],[LP]]="",Tabulka171013253137[[#This Row],[PP]]=""),"",MAX(Tabulka171013253137[[#This Row],[LP]:[PP]])))))</f>
        <v>15.308999999999999</v>
      </c>
      <c r="H5" s="1">
        <f>COUNTIF(Tabulka171013253137[[#This Row],[Tým]],"*")</f>
        <v>1</v>
      </c>
      <c r="I5" s="1">
        <f>COUNTIF(Tabulka171013253137[[#This Row],[Výsledný čas]],"NEÚČAST")</f>
        <v>0</v>
      </c>
      <c r="J5" s="1">
        <f>IF(Tabulka171013253137[[#This Row],[Výsledný čas]]="N",998,IF(Tabulka171013253137[[#This Row],[Výsledný čas]]="D",998,IF(Tabulka171013253137[[#This Row],[Výsledný čas]]="","",Tabulka171013253137[[#This Row],[Výsledný čas]])))</f>
        <v>15.308999999999999</v>
      </c>
      <c r="L5" s="1">
        <f>SUM(Tabulka171013253137[Sloupec2])</f>
        <v>1</v>
      </c>
      <c r="N5" s="30" t="s">
        <v>105</v>
      </c>
      <c r="O5" s="25">
        <f>IF(Tabulka1710136303642[[#This Row],[ ]]="","",IF(Tabulka1710136303642[[#This Row],[ ]]="NEÚČAST","",IF(OR(Tabulka1710136303642[Výsledný čas]="N",Tabulka1710136303642[Výsledný čas]="D"),$X$4-$X$5,_xlfn.RANK.EQ(Tabulka1710136303642[[#This Row],[ ]],Tabulka1710136303642[[ ]],1))))</f>
        <v>3</v>
      </c>
      <c r="P5" s="26" t="s">
        <v>35</v>
      </c>
      <c r="Q5" s="5">
        <v>17.547999999999998</v>
      </c>
      <c r="R5" s="5">
        <v>17.359000000000002</v>
      </c>
      <c r="S5" s="25">
        <f>IF(OR(Tabulka1710136303642[[#This Row],[LP]]="N",Tabulka1710136303642[[#This Row],[PP]]="N"),"N",IF(OR(Tabulka1710136303642[[#This Row],[LP]]="D",Tabulka1710136303642[[#This Row],[PP]]="D"),"D",IF(OR(Tabulka1710136303642[[#This Row],[LP]]="NEÚČAST",Tabulka1710136303642[[#This Row],[PP]]="NEÚČAST"),"NEÚČAST",IF(OR(Tabulka1710136303642[[#This Row],[LP]]="",Tabulka1710136303642[[#This Row],[PP]]=""),"",MAX(Tabulka1710136303642[[#This Row],[LP]:[PP]])))))</f>
        <v>17.547999999999998</v>
      </c>
      <c r="T5" s="46">
        <f>COUNTIF(Tabulka1710136303642[[#This Row],[Tým]],"*")</f>
        <v>1</v>
      </c>
      <c r="U5" s="46">
        <f>COUNTIF(Tabulka1710136303642[[#This Row],[Výsledný čas]],"NEÚČAST")</f>
        <v>0</v>
      </c>
      <c r="V5" s="29">
        <f>IF(Tabulka1710136303642[[#This Row],[Výsledný čas]]="N",998,IF(Tabulka1710136303642[[#This Row],[Výsledný čas]]="D",998,IF(Tabulka1710136303642[[#This Row],[Výsledný čas]]="","",Tabulka1710136303642[[#This Row],[Výsledný čas]])))</f>
        <v>17.547999999999998</v>
      </c>
      <c r="X5" s="1">
        <f>SUM(Tabulka1710136303642[Sloupec2])</f>
        <v>0</v>
      </c>
      <c r="Y5" s="15"/>
      <c r="Z5" s="31">
        <f>IF(OR(Tabulka381114263238[Výsledný čas]="N",Tabulka381114263238[Výsledný čas]="D",Tabulka381114263238[Výsledný čas]="NEÚČAST"),Uvod!$E$4,_xlfn.RANK.EQ(Tabulka381114263238[[#This Row],[ ]],Tabulka381114263238[[ ]],1))</f>
        <v>2</v>
      </c>
      <c r="AA5" s="51" t="s">
        <v>23</v>
      </c>
      <c r="AB5" s="44">
        <f>VLOOKUP(Tabulka381114263238[[#This Row],[Tým]],Tabulka171013253137[[Tým]:[ ]],2,FALSE)</f>
        <v>15.308999999999999</v>
      </c>
      <c r="AC5" s="44">
        <f>VLOOKUP(Tabulka381114263238[[#This Row],[Tým]],Tabulka171013253137[[Tým]:[ ]],3,FALSE)</f>
        <v>14.353999999999999</v>
      </c>
      <c r="AD5" s="25">
        <f>VLOOKUP(Tabulka381114263238[[#This Row],[Tým]],Tabulka171013253137[[Tým]:[ ]],4,FALSE)</f>
        <v>15.308999999999999</v>
      </c>
      <c r="AE5" s="25">
        <f>VLOOKUP(Tabulka381114263238[[#This Row],[Tým]],Tabulka171013253137[[Tým]:[ ]],7,FALSE)</f>
        <v>15.308999999999999</v>
      </c>
      <c r="AF5" s="29">
        <f>IF(Tabulka381114263238[[#This Row],[Výsledný čas]]="N",5,IF(Tabulka381114263238[[#This Row],[Výsledný čas]]="D",0,IF(Tabulka381114263238[[#This Row],[Výsledný čas]]="NEÚČAST",0,Tabulka4[[#Totals],[Týmy muži]]+6-Tabulka381114263238[[#This Row],[Umístění]])))</f>
        <v>23</v>
      </c>
      <c r="AH5" s="31">
        <f>_xlfn.RANK.EQ(Tabulka591215273339[[#This Row],[Body]],Tabulka591215273339[Body],0)</f>
        <v>2</v>
      </c>
      <c r="AI5" s="51" t="s">
        <v>23</v>
      </c>
      <c r="AJ5" s="29">
        <f>VLOOKUP(Tabulka591215273339[[#This Row],[Tým]],Tabulka381114263238[[Tým]:[Body]],6,FALSE)+Tabulka591215273339[[#This Row],[ ]]</f>
        <v>102</v>
      </c>
      <c r="AK5" s="82">
        <f>VLOOKUP(Tabulka591215273339[[#This Row],[Tým]],Tabulka5912152733[[Tým]:[Body]],2,FALSE)</f>
        <v>79</v>
      </c>
      <c r="AL5" s="47">
        <f>Tabulka591215273339[[#This Row],[Umístění]]</f>
        <v>2</v>
      </c>
      <c r="AM5" s="15"/>
      <c r="AP5" s="1"/>
    </row>
    <row r="6" spans="1:42" ht="24.95" customHeight="1" x14ac:dyDescent="0.45">
      <c r="B6" s="6" t="s">
        <v>50</v>
      </c>
      <c r="C6" s="1">
        <f>IF(Tabulka171013253137[[#This Row],[ ]]="","",IF(Tabulka171013253137[[#This Row],[ ]]="NEÚČAST","",IF(OR(Tabulka171013253137[Výsledný čas]="N",Tabulka171013253137[Výsledný čas]="D"),$L$4-$L$5,_xlfn.RANK.EQ(Tabulka171013253137[[#This Row],[ ]],Tabulka171013253137[[ ]],1))))</f>
        <v>3</v>
      </c>
      <c r="D6" s="162" t="s">
        <v>12</v>
      </c>
      <c r="E6" s="122">
        <v>15.468</v>
      </c>
      <c r="F6" s="120">
        <v>14.865</v>
      </c>
      <c r="G6" s="9">
        <f>IF(OR(Tabulka171013253137[[#This Row],[LP]]="N",Tabulka171013253137[[#This Row],[PP]]="N"),"N",IF(OR(Tabulka171013253137[[#This Row],[LP]]="D",Tabulka171013253137[[#This Row],[PP]]="D"),"D",IF(OR(Tabulka171013253137[[#This Row],[LP]]="NEÚČAST",Tabulka171013253137[[#This Row],[PP]]="NEÚČAST"),"NEÚČAST",IF(OR(Tabulka171013253137[[#This Row],[LP]]="",Tabulka171013253137[[#This Row],[PP]]=""),"",MAX(Tabulka171013253137[[#This Row],[LP]:[PP]])))))</f>
        <v>15.468</v>
      </c>
      <c r="H6" s="1">
        <f>COUNTIF(Tabulka171013253137[[#This Row],[Tým]],"*")</f>
        <v>1</v>
      </c>
      <c r="I6" s="1">
        <f>COUNTIF(Tabulka171013253137[[#This Row],[Výsledný čas]],"NEÚČAST")</f>
        <v>0</v>
      </c>
      <c r="J6" s="1">
        <f>IF(Tabulka171013253137[[#This Row],[Výsledný čas]]="N",998,IF(Tabulka171013253137[[#This Row],[Výsledný čas]]="D",998,IF(Tabulka171013253137[[#This Row],[Výsledný čas]]="","",Tabulka171013253137[[#This Row],[Výsledný čas]])))</f>
        <v>15.468</v>
      </c>
      <c r="N6" s="30" t="s">
        <v>61</v>
      </c>
      <c r="O6" s="25">
        <f>IF(Tabulka1710136303642[[#This Row],[ ]]="","",IF(Tabulka1710136303642[[#This Row],[ ]]="NEÚČAST","",IF(OR(Tabulka1710136303642[Výsledný čas]="N",Tabulka1710136303642[Výsledný čas]="D"),$X$4-$X$5,_xlfn.RANK.EQ(Tabulka1710136303642[[#This Row],[ ]],Tabulka1710136303642[[ ]],1))))</f>
        <v>4</v>
      </c>
      <c r="P6" s="26" t="s">
        <v>34</v>
      </c>
      <c r="Q6" s="5">
        <v>17.571999999999999</v>
      </c>
      <c r="R6" s="5">
        <v>17.356000000000002</v>
      </c>
      <c r="S6" s="25">
        <f>IF(OR(Tabulka1710136303642[[#This Row],[LP]]="N",Tabulka1710136303642[[#This Row],[PP]]="N"),"N",IF(OR(Tabulka1710136303642[[#This Row],[LP]]="D",Tabulka1710136303642[[#This Row],[PP]]="D"),"D",IF(OR(Tabulka1710136303642[[#This Row],[LP]]="NEÚČAST",Tabulka1710136303642[[#This Row],[PP]]="NEÚČAST"),"NEÚČAST",IF(OR(Tabulka1710136303642[[#This Row],[LP]]="",Tabulka1710136303642[[#This Row],[PP]]=""),"",MAX(Tabulka1710136303642[[#This Row],[LP]:[PP]])))))</f>
        <v>17.571999999999999</v>
      </c>
      <c r="T6" s="46">
        <f>COUNTIF(Tabulka1710136303642[[#This Row],[Tým]],"*")</f>
        <v>1</v>
      </c>
      <c r="U6" s="46">
        <f>COUNTIF(Tabulka1710136303642[[#This Row],[Výsledný čas]],"NEÚČAST")</f>
        <v>0</v>
      </c>
      <c r="V6" s="29">
        <f>IF(Tabulka1710136303642[[#This Row],[Výsledný čas]]="N",998,IF(Tabulka1710136303642[[#This Row],[Výsledný čas]]="D",998,IF(Tabulka1710136303642[[#This Row],[Výsledný čas]]="","",Tabulka1710136303642[[#This Row],[Výsledný čas]])))</f>
        <v>17.571999999999999</v>
      </c>
      <c r="Y6" s="15"/>
      <c r="Z6" s="31">
        <f>IF(OR(Tabulka381114263238[Výsledný čas]="N",Tabulka381114263238[Výsledný čas]="D",Tabulka381114263238[Výsledný čas]="NEÚČAST"),Uvod!$E$4,_xlfn.RANK.EQ(Tabulka381114263238[[#This Row],[ ]],Tabulka381114263238[[ ]],1))</f>
        <v>3</v>
      </c>
      <c r="AA6" s="51" t="s">
        <v>16</v>
      </c>
      <c r="AB6" s="44">
        <f>VLOOKUP(Tabulka381114263238[[#This Row],[Tým]],Tabulka171013253137[[Tým]:[ ]],2,FALSE)</f>
        <v>15.153</v>
      </c>
      <c r="AC6" s="44">
        <f>VLOOKUP(Tabulka381114263238[[#This Row],[Tým]],Tabulka171013253137[[Tým]:[ ]],3,FALSE)</f>
        <v>15.685</v>
      </c>
      <c r="AD6" s="25">
        <f>VLOOKUP(Tabulka381114263238[[#This Row],[Tým]],Tabulka171013253137[[Tým]:[ ]],4,FALSE)</f>
        <v>15.685</v>
      </c>
      <c r="AE6" s="25">
        <f>VLOOKUP(Tabulka381114263238[[#This Row],[Tým]],Tabulka171013253137[[Tým]:[ ]],7,FALSE)</f>
        <v>15.685</v>
      </c>
      <c r="AF6" s="29">
        <f>IF(Tabulka381114263238[[#This Row],[Výsledný čas]]="N",5,IF(Tabulka381114263238[[#This Row],[Výsledný čas]]="D",0,IF(Tabulka381114263238[[#This Row],[Výsledný čas]]="NEÚČAST",0,Tabulka4[[#Totals],[Týmy muži]]+6-Tabulka381114263238[[#This Row],[Umístění]])))</f>
        <v>22</v>
      </c>
      <c r="AH6" s="31">
        <f>_xlfn.RANK.EQ(Tabulka591215273339[[#This Row],[Body]],Tabulka591215273339[Body],0)</f>
        <v>3</v>
      </c>
      <c r="AI6" s="51" t="s">
        <v>10</v>
      </c>
      <c r="AJ6" s="29">
        <f>VLOOKUP(Tabulka591215273339[[#This Row],[Tým]],Tabulka381114263238[[Tým]:[Body]],6,FALSE)+Tabulka591215273339[[#This Row],[ ]]</f>
        <v>99</v>
      </c>
      <c r="AK6" s="82">
        <f>VLOOKUP(Tabulka591215273339[[#This Row],[Tým]],Tabulka5912152733[[Tým]:[Body]],2,FALSE)</f>
        <v>80</v>
      </c>
      <c r="AL6" s="47">
        <f>Tabulka591215273339[[#This Row],[Umístění]]</f>
        <v>3</v>
      </c>
      <c r="AM6" s="15"/>
      <c r="AP6" s="1"/>
    </row>
    <row r="7" spans="1:42" ht="24.95" customHeight="1" x14ac:dyDescent="0.45">
      <c r="B7" s="6" t="s">
        <v>55</v>
      </c>
      <c r="C7" s="1">
        <f>IF(Tabulka171013253137[[#This Row],[ ]]="","",IF(Tabulka171013253137[[#This Row],[ ]]="NEÚČAST","",IF(OR(Tabulka171013253137[Výsledný čas]="N",Tabulka171013253137[Výsledný čas]="D"),$L$4-$L$5,_xlfn.RANK.EQ(Tabulka171013253137[[#This Row],[ ]],Tabulka171013253137[[ ]],1))))</f>
        <v>4</v>
      </c>
      <c r="D7" s="162" t="s">
        <v>16</v>
      </c>
      <c r="E7" s="120">
        <v>15.153</v>
      </c>
      <c r="F7" s="120">
        <v>15.685</v>
      </c>
      <c r="G7" s="9">
        <f>IF(OR(Tabulka171013253137[[#This Row],[LP]]="N",Tabulka171013253137[[#This Row],[PP]]="N"),"N",IF(OR(Tabulka171013253137[[#This Row],[LP]]="D",Tabulka171013253137[[#This Row],[PP]]="D"),"D",IF(OR(Tabulka171013253137[[#This Row],[LP]]="NEÚČAST",Tabulka171013253137[[#This Row],[PP]]="NEÚČAST"),"NEÚČAST",IF(OR(Tabulka171013253137[[#This Row],[LP]]="",Tabulka171013253137[[#This Row],[PP]]=""),"",MAX(Tabulka171013253137[[#This Row],[LP]:[PP]])))))</f>
        <v>15.685</v>
      </c>
      <c r="H7" s="1">
        <f>COUNTIF(Tabulka171013253137[[#This Row],[Tým]],"*")</f>
        <v>1</v>
      </c>
      <c r="I7" s="1">
        <f>COUNTIF(Tabulka171013253137[[#This Row],[Výsledný čas]],"NEÚČAST")</f>
        <v>0</v>
      </c>
      <c r="J7" s="1">
        <f>IF(Tabulka171013253137[[#This Row],[Výsledný čas]]="N",998,IF(Tabulka171013253137[[#This Row],[Výsledný čas]]="D",998,IF(Tabulka171013253137[[#This Row],[Výsledný čas]]="","",Tabulka171013253137[[#This Row],[Výsledný čas]])))</f>
        <v>15.685</v>
      </c>
      <c r="N7" s="31" t="s">
        <v>65</v>
      </c>
      <c r="O7" s="25">
        <f>IF(Tabulka1710136303642[[#This Row],[ ]]="","",IF(Tabulka1710136303642[[#This Row],[ ]]="NEÚČAST","",IF(OR(Tabulka1710136303642[Výsledný čas]="N",Tabulka1710136303642[Výsledný čas]="D"),$X$4-$X$5,_xlfn.RANK.EQ(Tabulka1710136303642[[#This Row],[ ]],Tabulka1710136303642[[ ]],1))))</f>
        <v>5</v>
      </c>
      <c r="P7" s="26" t="s">
        <v>16</v>
      </c>
      <c r="Q7" s="5">
        <v>19.039000000000001</v>
      </c>
      <c r="R7" s="5">
        <v>19.324000000000002</v>
      </c>
      <c r="S7" s="25">
        <f>IF(OR(Tabulka1710136303642[[#This Row],[LP]]="N",Tabulka1710136303642[[#This Row],[PP]]="N"),"N",IF(OR(Tabulka1710136303642[[#This Row],[LP]]="D",Tabulka1710136303642[[#This Row],[PP]]="D"),"D",IF(OR(Tabulka1710136303642[[#This Row],[LP]]="NEÚČAST",Tabulka1710136303642[[#This Row],[PP]]="NEÚČAST"),"NEÚČAST",IF(OR(Tabulka1710136303642[[#This Row],[LP]]="",Tabulka1710136303642[[#This Row],[PP]]=""),"",MAX(Tabulka1710136303642[[#This Row],[LP]:[PP]])))))</f>
        <v>19.324000000000002</v>
      </c>
      <c r="T7" s="46">
        <f>COUNTIF(Tabulka1710136303642[[#This Row],[Tým]],"*")</f>
        <v>1</v>
      </c>
      <c r="U7" s="46">
        <f>COUNTIF(Tabulka1710136303642[[#This Row],[Výsledný čas]],"NEÚČAST")</f>
        <v>0</v>
      </c>
      <c r="V7" s="29">
        <f>IF(Tabulka1710136303642[[#This Row],[Výsledný čas]]="N",998,IF(Tabulka1710136303642[[#This Row],[Výsledný čas]]="D",998,IF(Tabulka1710136303642[[#This Row],[Výsledný čas]]="","",Tabulka1710136303642[[#This Row],[Výsledný čas]])))</f>
        <v>19.324000000000002</v>
      </c>
      <c r="Y7" s="15"/>
      <c r="Z7" s="31">
        <f>IF(OR(Tabulka381114263238[Výsledný čas]="N",Tabulka381114263238[Výsledný čas]="D",Tabulka381114263238[Výsledný čas]="NEÚČAST"),Uvod!$E$4,_xlfn.RANK.EQ(Tabulka381114263238[[#This Row],[ ]],Tabulka381114263238[[ ]],1))</f>
        <v>4</v>
      </c>
      <c r="AA7" s="51" t="s">
        <v>15</v>
      </c>
      <c r="AB7" s="44">
        <f>VLOOKUP(Tabulka381114263238[[#This Row],[Tým]],Tabulka171013253137[[Tým]:[ ]],2,FALSE)</f>
        <v>15.872</v>
      </c>
      <c r="AC7" s="44">
        <f>VLOOKUP(Tabulka381114263238[[#This Row],[Tým]],Tabulka171013253137[[Tým]:[ ]],3,FALSE)</f>
        <v>16.227</v>
      </c>
      <c r="AD7" s="25">
        <f>VLOOKUP(Tabulka381114263238[[#This Row],[Tým]],Tabulka171013253137[[Tým]:[ ]],4,FALSE)</f>
        <v>16.227</v>
      </c>
      <c r="AE7" s="25">
        <f>VLOOKUP(Tabulka381114263238[[#This Row],[Tým]],Tabulka171013253137[[Tým]:[ ]],7,FALSE)</f>
        <v>16.227</v>
      </c>
      <c r="AF7" s="29">
        <f>IF(Tabulka381114263238[[#This Row],[Výsledný čas]]="N",5,IF(Tabulka381114263238[[#This Row],[Výsledný čas]]="D",0,IF(Tabulka381114263238[[#This Row],[Výsledný čas]]="NEÚČAST",0,Tabulka4[[#Totals],[Týmy muži]]+6-Tabulka381114263238[[#This Row],[Umístění]])))</f>
        <v>21</v>
      </c>
      <c r="AH7" s="31">
        <f>_xlfn.RANK.EQ(Tabulka591215273339[[#This Row],[Body]],Tabulka591215273339[Body],0)</f>
        <v>4</v>
      </c>
      <c r="AI7" s="51" t="s">
        <v>30</v>
      </c>
      <c r="AJ7" s="29">
        <f>VLOOKUP(Tabulka591215273339[[#This Row],[Tým]],Tabulka381114263238[[Tým]:[Body]],6,FALSE)+Tabulka591215273339[[#This Row],[ ]]</f>
        <v>91</v>
      </c>
      <c r="AK7" s="82">
        <f>VLOOKUP(Tabulka591215273339[[#This Row],[Tým]],Tabulka5912152733[[Tým]:[Body]],2,FALSE)</f>
        <v>67</v>
      </c>
      <c r="AL7" s="47">
        <f>Tabulka591215273339[[#This Row],[Umístění]]</f>
        <v>4</v>
      </c>
      <c r="AM7" s="15"/>
      <c r="AP7" s="1"/>
    </row>
    <row r="8" spans="1:42" ht="24.95" customHeight="1" x14ac:dyDescent="0.45">
      <c r="B8" s="6" t="s">
        <v>70</v>
      </c>
      <c r="C8" s="1">
        <f>IF(Tabulka171013253137[[#This Row],[ ]]="","",IF(Tabulka171013253137[[#This Row],[ ]]="NEÚČAST","",IF(OR(Tabulka171013253137[Výsledný čas]="N",Tabulka171013253137[Výsledný čas]="D"),$L$4-$L$5,_xlfn.RANK.EQ(Tabulka171013253137[[#This Row],[ ]],Tabulka171013253137[[ ]],1))))</f>
        <v>5</v>
      </c>
      <c r="D8" s="162" t="s">
        <v>15</v>
      </c>
      <c r="E8" s="121">
        <v>15.872</v>
      </c>
      <c r="F8" s="121">
        <v>16.227</v>
      </c>
      <c r="G8" s="9">
        <f>IF(OR(Tabulka171013253137[[#This Row],[LP]]="N",Tabulka171013253137[[#This Row],[PP]]="N"),"N",IF(OR(Tabulka171013253137[[#This Row],[LP]]="D",Tabulka171013253137[[#This Row],[PP]]="D"),"D",IF(OR(Tabulka171013253137[[#This Row],[LP]]="NEÚČAST",Tabulka171013253137[[#This Row],[PP]]="NEÚČAST"),"NEÚČAST",IF(OR(Tabulka171013253137[[#This Row],[LP]]="",Tabulka171013253137[[#This Row],[PP]]=""),"",MAX(Tabulka171013253137[[#This Row],[LP]:[PP]])))))</f>
        <v>16.227</v>
      </c>
      <c r="H8" s="1">
        <f>COUNTIF(Tabulka171013253137[[#This Row],[Tým]],"*")</f>
        <v>1</v>
      </c>
      <c r="I8" s="1">
        <f>COUNTIF(Tabulka171013253137[[#This Row],[Výsledný čas]],"NEÚČAST")</f>
        <v>0</v>
      </c>
      <c r="J8" s="1">
        <f>IF(Tabulka171013253137[[#This Row],[Výsledný čas]]="N",998,IF(Tabulka171013253137[[#This Row],[Výsledný čas]]="D",998,IF(Tabulka171013253137[[#This Row],[Výsledný čas]]="","",Tabulka171013253137[[#This Row],[Výsledný čas]])))</f>
        <v>16.227</v>
      </c>
      <c r="N8" s="31" t="s">
        <v>43</v>
      </c>
      <c r="O8" s="25">
        <f>IF(Tabulka1710136303642[[#This Row],[ ]]="","",IF(Tabulka1710136303642[[#This Row],[ ]]="NEÚČAST","",IF(OR(Tabulka1710136303642[Výsledný čas]="N",Tabulka1710136303642[Výsledný čas]="D"),$X$4-$X$5,_xlfn.RANK.EQ(Tabulka1710136303642[[#This Row],[ ]],Tabulka1710136303642[[ ]],1))))</f>
        <v>6</v>
      </c>
      <c r="P8" s="26" t="s">
        <v>19</v>
      </c>
      <c r="Q8" s="5">
        <v>20.013999999999999</v>
      </c>
      <c r="R8" s="5">
        <v>18.545999999999999</v>
      </c>
      <c r="S8" s="25">
        <f>IF(OR(Tabulka1710136303642[[#This Row],[LP]]="N",Tabulka1710136303642[[#This Row],[PP]]="N"),"N",IF(OR(Tabulka1710136303642[[#This Row],[LP]]="D",Tabulka1710136303642[[#This Row],[PP]]="D"),"D",IF(OR(Tabulka1710136303642[[#This Row],[LP]]="NEÚČAST",Tabulka1710136303642[[#This Row],[PP]]="NEÚČAST"),"NEÚČAST",IF(OR(Tabulka1710136303642[[#This Row],[LP]]="",Tabulka1710136303642[[#This Row],[PP]]=""),"",MAX(Tabulka1710136303642[[#This Row],[LP]:[PP]])))))</f>
        <v>20.013999999999999</v>
      </c>
      <c r="T8" s="46">
        <f>COUNTIF(Tabulka1710136303642[[#This Row],[Tým]],"*")</f>
        <v>1</v>
      </c>
      <c r="U8" s="46">
        <f>COUNTIF(Tabulka1710136303642[[#This Row],[Výsledný čas]],"NEÚČAST")</f>
        <v>0</v>
      </c>
      <c r="V8" s="29">
        <f>IF(Tabulka1710136303642[[#This Row],[Výsledný čas]]="N",998,IF(Tabulka1710136303642[[#This Row],[Výsledný čas]]="D",998,IF(Tabulka1710136303642[[#This Row],[Výsledný čas]]="","",Tabulka1710136303642[[#This Row],[Výsledný čas]])))</f>
        <v>20.013999999999999</v>
      </c>
      <c r="Y8" s="15"/>
      <c r="Z8" s="31">
        <f>IF(OR(Tabulka381114263238[Výsledný čas]="N",Tabulka381114263238[Výsledný čas]="D",Tabulka381114263238[Výsledný čas]="NEÚČAST"),Uvod!$E$4,_xlfn.RANK.EQ(Tabulka381114263238[[#This Row],[ ]],Tabulka381114263238[[ ]],1))</f>
        <v>5</v>
      </c>
      <c r="AA8" s="97" t="s">
        <v>13</v>
      </c>
      <c r="AB8" s="44">
        <f>VLOOKUP(Tabulka381114263238[[#This Row],[Tým]],Tabulka171013253137[[Tým]:[ ]],2,FALSE)</f>
        <v>15.875999999999999</v>
      </c>
      <c r="AC8" s="44">
        <f>VLOOKUP(Tabulka381114263238[[#This Row],[Tým]],Tabulka171013253137[[Tým]:[ ]],3,FALSE)</f>
        <v>16.233000000000001</v>
      </c>
      <c r="AD8" s="25">
        <f>VLOOKUP(Tabulka381114263238[[#This Row],[Tým]],Tabulka171013253137[[Tým]:[ ]],4,FALSE)</f>
        <v>16.233000000000001</v>
      </c>
      <c r="AE8" s="25">
        <f>VLOOKUP(Tabulka381114263238[[#This Row],[Tým]],Tabulka171013253137[[Tým]:[ ]],7,FALSE)</f>
        <v>16.233000000000001</v>
      </c>
      <c r="AF8" s="29">
        <f>IF(Tabulka381114263238[[#This Row],[Výsledný čas]]="N",5,IF(Tabulka381114263238[[#This Row],[Výsledný čas]]="D",0,IF(Tabulka381114263238[[#This Row],[Výsledný čas]]="NEÚČAST",0,Tabulka4[[#Totals],[Týmy muži]]+6-Tabulka381114263238[[#This Row],[Umístění]])))</f>
        <v>20</v>
      </c>
      <c r="AH8" s="31">
        <f>_xlfn.RANK.EQ(Tabulka591215273339[[#This Row],[Body]],Tabulka591215273339[Body],0)</f>
        <v>5</v>
      </c>
      <c r="AI8" s="51" t="s">
        <v>22</v>
      </c>
      <c r="AJ8" s="29">
        <f>VLOOKUP(Tabulka591215273339[[#This Row],[Tým]],Tabulka381114263238[[Tým]:[Body]],6,FALSE)+Tabulka591215273339[[#This Row],[ ]]</f>
        <v>88</v>
      </c>
      <c r="AK8" s="82">
        <f>VLOOKUP(Tabulka591215273339[[#This Row],[Tým]],Tabulka5912152733[[Tým]:[Body]],2,FALSE)</f>
        <v>83</v>
      </c>
      <c r="AL8" s="47">
        <f>Tabulka591215273339[[#This Row],[Umístění]]</f>
        <v>5</v>
      </c>
      <c r="AM8" s="15"/>
      <c r="AP8" s="1"/>
    </row>
    <row r="9" spans="1:42" ht="24.95" customHeight="1" x14ac:dyDescent="0.45">
      <c r="B9" s="11" t="s">
        <v>100</v>
      </c>
      <c r="C9" s="1">
        <f>IF(Tabulka171013253137[[#This Row],[ ]]="","",IF(Tabulka171013253137[[#This Row],[ ]]="NEÚČAST","",IF(OR(Tabulka171013253137[Výsledný čas]="N",Tabulka171013253137[Výsledný čas]="D"),$L$4-$L$5,_xlfn.RANK.EQ(Tabulka171013253137[[#This Row],[ ]],Tabulka171013253137[[ ]],1))))</f>
        <v>6</v>
      </c>
      <c r="D9" s="162" t="s">
        <v>13</v>
      </c>
      <c r="E9" s="120">
        <v>15.875999999999999</v>
      </c>
      <c r="F9" s="120">
        <v>16.233000000000001</v>
      </c>
      <c r="G9" s="9">
        <f>IF(OR(Tabulka171013253137[[#This Row],[LP]]="N",Tabulka171013253137[[#This Row],[PP]]="N"),"N",IF(OR(Tabulka171013253137[[#This Row],[LP]]="D",Tabulka171013253137[[#This Row],[PP]]="D"),"D",IF(OR(Tabulka171013253137[[#This Row],[LP]]="NEÚČAST",Tabulka171013253137[[#This Row],[PP]]="NEÚČAST"),"NEÚČAST",IF(OR(Tabulka171013253137[[#This Row],[LP]]="",Tabulka171013253137[[#This Row],[PP]]=""),"",MAX(Tabulka171013253137[[#This Row],[LP]:[PP]])))))</f>
        <v>16.233000000000001</v>
      </c>
      <c r="H9" s="1">
        <f>COUNTIF(Tabulka171013253137[[#This Row],[Tým]],"*")</f>
        <v>1</v>
      </c>
      <c r="I9" s="1">
        <f>COUNTIF(Tabulka171013253137[[#This Row],[Výsledný čas]],"NEÚČAST")</f>
        <v>0</v>
      </c>
      <c r="J9" s="1">
        <f>IF(Tabulka171013253137[[#This Row],[Výsledný čas]]="N",998,IF(Tabulka171013253137[[#This Row],[Výsledný čas]]="D",998,IF(Tabulka171013253137[[#This Row],[Výsledný čas]]="","",Tabulka171013253137[[#This Row],[Výsledný čas]])))</f>
        <v>16.233000000000001</v>
      </c>
      <c r="N9" s="30" t="s">
        <v>49</v>
      </c>
      <c r="O9" s="25">
        <f>IF(Tabulka1710136303642[[#This Row],[ ]]="","",IF(Tabulka1710136303642[[#This Row],[ ]]="NEÚČAST","",IF(OR(Tabulka1710136303642[Výsledný čas]="N",Tabulka1710136303642[Výsledný čas]="D"),$X$4-$X$5,_xlfn.RANK.EQ(Tabulka1710136303642[[#This Row],[ ]],Tabulka1710136303642[[ ]],1))))</f>
        <v>7</v>
      </c>
      <c r="P9" s="26" t="s">
        <v>15</v>
      </c>
      <c r="Q9" s="5">
        <v>19.248000000000001</v>
      </c>
      <c r="R9" s="5">
        <v>20.314</v>
      </c>
      <c r="S9" s="25">
        <f>IF(OR(Tabulka1710136303642[[#This Row],[LP]]="N",Tabulka1710136303642[[#This Row],[PP]]="N"),"N",IF(OR(Tabulka1710136303642[[#This Row],[LP]]="D",Tabulka1710136303642[[#This Row],[PP]]="D"),"D",IF(OR(Tabulka1710136303642[[#This Row],[LP]]="NEÚČAST",Tabulka1710136303642[[#This Row],[PP]]="NEÚČAST"),"NEÚČAST",IF(OR(Tabulka1710136303642[[#This Row],[LP]]="",Tabulka1710136303642[[#This Row],[PP]]=""),"",MAX(Tabulka1710136303642[[#This Row],[LP]:[PP]])))))</f>
        <v>20.314</v>
      </c>
      <c r="T9" s="46">
        <f>COUNTIF(Tabulka1710136303642[[#This Row],[Tým]],"*")</f>
        <v>1</v>
      </c>
      <c r="U9" s="46">
        <f>COUNTIF(Tabulka1710136303642[[#This Row],[Výsledný čas]],"NEÚČAST")</f>
        <v>0</v>
      </c>
      <c r="V9" s="29">
        <f>IF(Tabulka1710136303642[[#This Row],[Výsledný čas]]="N",998,IF(Tabulka1710136303642[[#This Row],[Výsledný čas]]="D",998,IF(Tabulka1710136303642[[#This Row],[Výsledný čas]]="","",Tabulka1710136303642[[#This Row],[Výsledný čas]])))</f>
        <v>20.314</v>
      </c>
      <c r="Y9" s="15"/>
      <c r="Z9" s="31">
        <f>IF(OR(Tabulka381114263238[Výsledný čas]="N",Tabulka381114263238[Výsledný čas]="D",Tabulka381114263238[Výsledný čas]="NEÚČAST"),Uvod!$E$4,_xlfn.RANK.EQ(Tabulka381114263238[[#This Row],[ ]],Tabulka381114263238[[ ]],1))</f>
        <v>6</v>
      </c>
      <c r="AA9" s="51" t="s">
        <v>10</v>
      </c>
      <c r="AB9" s="44">
        <f>VLOOKUP(Tabulka381114263238[[#This Row],[Tým]],Tabulka171013253137[[Tým]:[ ]],2,FALSE)</f>
        <v>16.238</v>
      </c>
      <c r="AC9" s="44">
        <f>VLOOKUP(Tabulka381114263238[[#This Row],[Tým]],Tabulka171013253137[[Tým]:[ ]],3,FALSE)</f>
        <v>15.15</v>
      </c>
      <c r="AD9" s="25">
        <f>VLOOKUP(Tabulka381114263238[[#This Row],[Tým]],Tabulka171013253137[[Tým]:[ ]],4,FALSE)</f>
        <v>16.238</v>
      </c>
      <c r="AE9" s="25">
        <f>VLOOKUP(Tabulka381114263238[[#This Row],[Tým]],Tabulka171013253137[[Tým]:[ ]],7,FALSE)</f>
        <v>16.238</v>
      </c>
      <c r="AF9" s="29">
        <f>IF(Tabulka381114263238[[#This Row],[Výsledný čas]]="N",5,IF(Tabulka381114263238[[#This Row],[Výsledný čas]]="D",0,IF(Tabulka381114263238[[#This Row],[Výsledný čas]]="NEÚČAST",0,Tabulka4[[#Totals],[Týmy muži]]+6-Tabulka381114263238[[#This Row],[Umístění]])))</f>
        <v>19</v>
      </c>
      <c r="AH9" s="31">
        <f>_xlfn.RANK.EQ(Tabulka591215273339[[#This Row],[Body]],Tabulka591215273339[Body],0)</f>
        <v>6</v>
      </c>
      <c r="AI9" s="51" t="s">
        <v>20</v>
      </c>
      <c r="AJ9" s="29">
        <f>VLOOKUP(Tabulka591215273339[[#This Row],[Tým]],Tabulka381114263238[[Tým]:[Body]],6,FALSE)+Tabulka591215273339[[#This Row],[ ]]</f>
        <v>87</v>
      </c>
      <c r="AK9" s="82">
        <f>VLOOKUP(Tabulka591215273339[[#This Row],[Tým]],Tabulka5912152733[[Tým]:[Body]],2,FALSE)</f>
        <v>75</v>
      </c>
      <c r="AL9" s="47">
        <f>Tabulka591215273339[[#This Row],[Umístění]]</f>
        <v>6</v>
      </c>
      <c r="AM9" s="15"/>
      <c r="AP9" s="1"/>
    </row>
    <row r="10" spans="1:42" ht="24.95" customHeight="1" x14ac:dyDescent="0.45">
      <c r="B10" s="6" t="s">
        <v>67</v>
      </c>
      <c r="C10" s="1">
        <f>IF(Tabulka171013253137[[#This Row],[ ]]="","",IF(Tabulka171013253137[[#This Row],[ ]]="NEÚČAST","",IF(OR(Tabulka171013253137[Výsledný čas]="N",Tabulka171013253137[Výsledný čas]="D"),$L$4-$L$5,_xlfn.RANK.EQ(Tabulka171013253137[[#This Row],[ ]],Tabulka171013253137[[ ]],1))))</f>
        <v>7</v>
      </c>
      <c r="D10" s="162" t="s">
        <v>10</v>
      </c>
      <c r="E10" s="120">
        <v>16.238</v>
      </c>
      <c r="F10" s="120">
        <v>15.15</v>
      </c>
      <c r="G10" s="9">
        <f>IF(OR(Tabulka171013253137[[#This Row],[LP]]="N",Tabulka171013253137[[#This Row],[PP]]="N"),"N",IF(OR(Tabulka171013253137[[#This Row],[LP]]="D",Tabulka171013253137[[#This Row],[PP]]="D"),"D",IF(OR(Tabulka171013253137[[#This Row],[LP]]="NEÚČAST",Tabulka171013253137[[#This Row],[PP]]="NEÚČAST"),"NEÚČAST",IF(OR(Tabulka171013253137[[#This Row],[LP]]="",Tabulka171013253137[[#This Row],[PP]]=""),"",MAX(Tabulka171013253137[[#This Row],[LP]:[PP]])))))</f>
        <v>16.238</v>
      </c>
      <c r="H10" s="1">
        <f>COUNTIF(Tabulka171013253137[[#This Row],[Tým]],"*")</f>
        <v>1</v>
      </c>
      <c r="I10" s="1">
        <f>COUNTIF(Tabulka171013253137[[#This Row],[Výsledný čas]],"NEÚČAST")</f>
        <v>0</v>
      </c>
      <c r="J10" s="1">
        <f>IF(Tabulka171013253137[[#This Row],[Výsledný čas]]="N",998,IF(Tabulka171013253137[[#This Row],[Výsledný čas]]="D",998,IF(Tabulka171013253137[[#This Row],[Výsledný čas]]="","",Tabulka171013253137[[#This Row],[Výsledný čas]])))</f>
        <v>16.238</v>
      </c>
      <c r="N10" s="30" t="s">
        <v>48</v>
      </c>
      <c r="O10" s="25">
        <f>IF(Tabulka1710136303642[[#This Row],[ ]]="","",IF(Tabulka1710136303642[[#This Row],[ ]]="NEÚČAST","",IF(OR(Tabulka1710136303642[Výsledný čas]="N",Tabulka1710136303642[Výsledný čas]="D"),$X$4-$X$5,_xlfn.RANK.EQ(Tabulka1710136303642[[#This Row],[ ]],Tabulka1710136303642[[ ]],1))))</f>
        <v>8</v>
      </c>
      <c r="P10" s="26" t="s">
        <v>23</v>
      </c>
      <c r="Q10" s="5">
        <v>21.581</v>
      </c>
      <c r="R10" s="5">
        <v>20.440999999999999</v>
      </c>
      <c r="S10" s="25">
        <f>IF(OR(Tabulka1710136303642[[#This Row],[LP]]="N",Tabulka1710136303642[[#This Row],[PP]]="N"),"N",IF(OR(Tabulka1710136303642[[#This Row],[LP]]="D",Tabulka1710136303642[[#This Row],[PP]]="D"),"D",IF(OR(Tabulka1710136303642[[#This Row],[LP]]="NEÚČAST",Tabulka1710136303642[[#This Row],[PP]]="NEÚČAST"),"NEÚČAST",IF(OR(Tabulka1710136303642[[#This Row],[LP]]="",Tabulka1710136303642[[#This Row],[PP]]=""),"",MAX(Tabulka1710136303642[[#This Row],[LP]:[PP]])))))</f>
        <v>21.581</v>
      </c>
      <c r="T10" s="46">
        <f>COUNTIF(Tabulka1710136303642[[#This Row],[Tým]],"*")</f>
        <v>1</v>
      </c>
      <c r="U10" s="46">
        <f>COUNTIF(Tabulka1710136303642[[#This Row],[Výsledný čas]],"NEÚČAST")</f>
        <v>0</v>
      </c>
      <c r="V10" s="29">
        <f>IF(Tabulka1710136303642[[#This Row],[Výsledný čas]]="N",998,IF(Tabulka1710136303642[[#This Row],[Výsledný čas]]="D",998,IF(Tabulka1710136303642[[#This Row],[Výsledný čas]]="","",Tabulka1710136303642[[#This Row],[Výsledný čas]])))</f>
        <v>21.581</v>
      </c>
      <c r="Y10" s="15"/>
      <c r="Z10" s="31">
        <f>IF(OR(Tabulka381114263238[Výsledný čas]="N",Tabulka381114263238[Výsledný čas]="D",Tabulka381114263238[Výsledný čas]="NEÚČAST"),Uvod!$E$4,_xlfn.RANK.EQ(Tabulka381114263238[[#This Row],[ ]],Tabulka381114263238[[ ]],1))</f>
        <v>7</v>
      </c>
      <c r="AA10" s="51" t="s">
        <v>19</v>
      </c>
      <c r="AB10" s="44">
        <f>VLOOKUP(Tabulka381114263238[[#This Row],[Tým]],Tabulka171013253137[[Tým]:[ ]],2,FALSE)</f>
        <v>16.263999999999999</v>
      </c>
      <c r="AC10" s="44">
        <f>VLOOKUP(Tabulka381114263238[[#This Row],[Tým]],Tabulka171013253137[[Tým]:[ ]],3,FALSE)</f>
        <v>15.551</v>
      </c>
      <c r="AD10" s="25">
        <f>VLOOKUP(Tabulka381114263238[[#This Row],[Tým]],Tabulka171013253137[[Tým]:[ ]],4,FALSE)</f>
        <v>16.263999999999999</v>
      </c>
      <c r="AE10" s="25">
        <f>VLOOKUP(Tabulka381114263238[[#This Row],[Tým]],Tabulka171013253137[[Tým]:[ ]],7,FALSE)</f>
        <v>16.263999999999999</v>
      </c>
      <c r="AF10" s="29">
        <f>IF(Tabulka381114263238[[#This Row],[Výsledný čas]]="N",5,IF(Tabulka381114263238[[#This Row],[Výsledný čas]]="D",0,IF(Tabulka381114263238[[#This Row],[Výsledný čas]]="NEÚČAST",0,Tabulka4[[#Totals],[Týmy muži]]+6-Tabulka381114263238[[#This Row],[Umístění]])))</f>
        <v>18</v>
      </c>
      <c r="AH10" s="31">
        <f>_xlfn.RANK.EQ(Tabulka591215273339[[#This Row],[Body]],Tabulka591215273339[Body],0)</f>
        <v>7</v>
      </c>
      <c r="AI10" s="51" t="s">
        <v>15</v>
      </c>
      <c r="AJ10" s="29">
        <f>VLOOKUP(Tabulka591215273339[[#This Row],[Tým]],Tabulka381114263238[[Tým]:[Body]],6,FALSE)+Tabulka591215273339[[#This Row],[ ]]</f>
        <v>78</v>
      </c>
      <c r="AK10" s="82">
        <f>VLOOKUP(Tabulka591215273339[[#This Row],[Tým]],Tabulka5912152733[[Tým]:[Body]],2,FALSE)</f>
        <v>57</v>
      </c>
      <c r="AL10" s="47">
        <f>Tabulka591215273339[[#This Row],[Umístění]]</f>
        <v>7</v>
      </c>
      <c r="AM10" s="15"/>
      <c r="AP10" s="1"/>
    </row>
    <row r="11" spans="1:42" ht="24.95" customHeight="1" x14ac:dyDescent="0.45">
      <c r="B11" s="6" t="s">
        <v>46</v>
      </c>
      <c r="C11" s="1">
        <f>IF(Tabulka171013253137[[#This Row],[ ]]="","",IF(Tabulka171013253137[[#This Row],[ ]]="NEÚČAST","",IF(OR(Tabulka171013253137[Výsledný čas]="N",Tabulka171013253137[Výsledný čas]="D"),$L$4-$L$5,_xlfn.RANK.EQ(Tabulka171013253137[[#This Row],[ ]],Tabulka171013253137[[ ]],1))))</f>
        <v>8</v>
      </c>
      <c r="D11" s="162" t="s">
        <v>19</v>
      </c>
      <c r="E11" s="120">
        <v>16.263999999999999</v>
      </c>
      <c r="F11" s="120">
        <v>15.551</v>
      </c>
      <c r="G11" s="9">
        <f>IF(OR(Tabulka171013253137[[#This Row],[LP]]="N",Tabulka171013253137[[#This Row],[PP]]="N"),"N",IF(OR(Tabulka171013253137[[#This Row],[LP]]="D",Tabulka171013253137[[#This Row],[PP]]="D"),"D",IF(OR(Tabulka171013253137[[#This Row],[LP]]="NEÚČAST",Tabulka171013253137[[#This Row],[PP]]="NEÚČAST"),"NEÚČAST",IF(OR(Tabulka171013253137[[#This Row],[LP]]="",Tabulka171013253137[[#This Row],[PP]]=""),"",MAX(Tabulka171013253137[[#This Row],[LP]:[PP]])))))</f>
        <v>16.263999999999999</v>
      </c>
      <c r="H11" s="1">
        <f>COUNTIF(Tabulka171013253137[[#This Row],[Tým]],"*")</f>
        <v>1</v>
      </c>
      <c r="I11" s="1">
        <f>COUNTIF(Tabulka171013253137[[#This Row],[Výsledný čas]],"NEÚČAST")</f>
        <v>0</v>
      </c>
      <c r="J11" s="1">
        <f>IF(Tabulka171013253137[[#This Row],[Výsledný čas]]="N",998,IF(Tabulka171013253137[[#This Row],[Výsledný čas]]="D",998,IF(Tabulka171013253137[[#This Row],[Výsledný čas]]="","",Tabulka171013253137[[#This Row],[Výsledný čas]])))</f>
        <v>16.263999999999999</v>
      </c>
      <c r="N11" s="30" t="s">
        <v>128</v>
      </c>
      <c r="O11" s="25">
        <f>IF(Tabulka1710136303642[[#This Row],[ ]]="","",IF(Tabulka1710136303642[[#This Row],[ ]]="NEÚČAST","",IF(OR(Tabulka1710136303642[Výsledný čas]="N",Tabulka1710136303642[Výsledný čas]="D"),$X$4-$X$5,_xlfn.RANK.EQ(Tabulka1710136303642[[#This Row],[ ]],Tabulka1710136303642[[ ]],1))))</f>
        <v>9</v>
      </c>
      <c r="P11" s="26" t="s">
        <v>24</v>
      </c>
      <c r="Q11" s="5">
        <v>22.864000000000001</v>
      </c>
      <c r="R11" s="5">
        <v>22.707000000000001</v>
      </c>
      <c r="S11" s="25">
        <f>IF(OR(Tabulka1710136303642[[#This Row],[LP]]="N",Tabulka1710136303642[[#This Row],[PP]]="N"),"N",IF(OR(Tabulka1710136303642[[#This Row],[LP]]="D",Tabulka1710136303642[[#This Row],[PP]]="D"),"D",IF(OR(Tabulka1710136303642[[#This Row],[LP]]="NEÚČAST",Tabulka1710136303642[[#This Row],[PP]]="NEÚČAST"),"NEÚČAST",IF(OR(Tabulka1710136303642[[#This Row],[LP]]="",Tabulka1710136303642[[#This Row],[PP]]=""),"",MAX(Tabulka1710136303642[[#This Row],[LP]:[PP]])))))</f>
        <v>22.864000000000001</v>
      </c>
      <c r="T11" s="46">
        <f>COUNTIF(Tabulka1710136303642[[#This Row],[Tým]],"*")</f>
        <v>1</v>
      </c>
      <c r="U11" s="46">
        <f>COUNTIF(Tabulka1710136303642[[#This Row],[Výsledný čas]],"NEÚČAST")</f>
        <v>0</v>
      </c>
      <c r="V11" s="29">
        <f>IF(Tabulka1710136303642[[#This Row],[Výsledný čas]]="N",998,IF(Tabulka1710136303642[[#This Row],[Výsledný čas]]="D",998,IF(Tabulka1710136303642[[#This Row],[Výsledný čas]]="","",Tabulka1710136303642[[#This Row],[Výsledný čas]])))</f>
        <v>22.864000000000001</v>
      </c>
      <c r="Y11" s="15"/>
      <c r="Z11" s="31">
        <f>IF(OR(Tabulka381114263238[Výsledný čas]="N",Tabulka381114263238[Výsledný čas]="D",Tabulka381114263238[Výsledný čas]="NEÚČAST"),Uvod!$E$4,_xlfn.RANK.EQ(Tabulka381114263238[[#This Row],[ ]],Tabulka381114263238[[ ]],1))</f>
        <v>8</v>
      </c>
      <c r="AA11" s="51" t="s">
        <v>18</v>
      </c>
      <c r="AB11" s="44">
        <f>VLOOKUP(Tabulka381114263238[[#This Row],[Tým]],Tabulka171013253137[[Tým]:[ ]],2,FALSE)</f>
        <v>16.428000000000001</v>
      </c>
      <c r="AC11" s="44">
        <f>VLOOKUP(Tabulka381114263238[[#This Row],[Tým]],Tabulka171013253137[[Tým]:[ ]],3,FALSE)</f>
        <v>16.484999999999999</v>
      </c>
      <c r="AD11" s="25">
        <f>VLOOKUP(Tabulka381114263238[[#This Row],[Tým]],Tabulka171013253137[[Tým]:[ ]],4,FALSE)</f>
        <v>16.484999999999999</v>
      </c>
      <c r="AE11" s="25">
        <f>VLOOKUP(Tabulka381114263238[[#This Row],[Tým]],Tabulka171013253137[[Tým]:[ ]],7,FALSE)</f>
        <v>16.484999999999999</v>
      </c>
      <c r="AF11" s="29">
        <f>IF(Tabulka381114263238[[#This Row],[Výsledný čas]]="N",5,IF(Tabulka381114263238[[#This Row],[Výsledný čas]]="D",0,IF(Tabulka381114263238[[#This Row],[Výsledný čas]]="NEÚČAST",0,Tabulka4[[#Totals],[Týmy muži]]+6-Tabulka381114263238[[#This Row],[Umístění]])))</f>
        <v>17</v>
      </c>
      <c r="AH11" s="31">
        <f>_xlfn.RANK.EQ(Tabulka591215273339[[#This Row],[Body]],Tabulka591215273339[Body],0)</f>
        <v>8</v>
      </c>
      <c r="AI11" s="51" t="s">
        <v>16</v>
      </c>
      <c r="AJ11" s="29">
        <f>VLOOKUP(Tabulka591215273339[[#This Row],[Tým]],Tabulka381114263238[[Tým]:[Body]],6,FALSE)+Tabulka591215273339[[#This Row],[ ]]</f>
        <v>77</v>
      </c>
      <c r="AK11" s="82">
        <f>VLOOKUP(Tabulka591215273339[[#This Row],[Tým]],Tabulka5912152733[[Tým]:[Body]],2,FALSE)</f>
        <v>55</v>
      </c>
      <c r="AL11" s="47">
        <f>Tabulka591215273339[[#This Row],[Umístění]]</f>
        <v>8</v>
      </c>
      <c r="AM11" s="15"/>
      <c r="AP11" s="1"/>
    </row>
    <row r="12" spans="1:42" ht="24.95" customHeight="1" x14ac:dyDescent="0.45">
      <c r="B12" s="6" t="s">
        <v>66</v>
      </c>
      <c r="C12" s="1">
        <f>IF(Tabulka171013253137[[#This Row],[ ]]="","",IF(Tabulka171013253137[[#This Row],[ ]]="NEÚČAST","",IF(OR(Tabulka171013253137[Výsledný čas]="N",Tabulka171013253137[Výsledný čas]="D"),$L$4-$L$5,_xlfn.RANK.EQ(Tabulka171013253137[[#This Row],[ ]],Tabulka171013253137[[ ]],1))))</f>
        <v>9</v>
      </c>
      <c r="D12" s="162" t="s">
        <v>18</v>
      </c>
      <c r="E12" s="120">
        <v>16.428000000000001</v>
      </c>
      <c r="F12" s="120">
        <v>16.484999999999999</v>
      </c>
      <c r="G12" s="9">
        <f>IF(OR(Tabulka171013253137[[#This Row],[LP]]="N",Tabulka171013253137[[#This Row],[PP]]="N"),"N",IF(OR(Tabulka171013253137[[#This Row],[LP]]="D",Tabulka171013253137[[#This Row],[PP]]="D"),"D",IF(OR(Tabulka171013253137[[#This Row],[LP]]="NEÚČAST",Tabulka171013253137[[#This Row],[PP]]="NEÚČAST"),"NEÚČAST",IF(OR(Tabulka171013253137[[#This Row],[LP]]="",Tabulka171013253137[[#This Row],[PP]]=""),"",MAX(Tabulka171013253137[[#This Row],[LP]:[PP]])))))</f>
        <v>16.484999999999999</v>
      </c>
      <c r="H12" s="1">
        <f>COUNTIF(Tabulka171013253137[[#This Row],[Tým]],"*")</f>
        <v>1</v>
      </c>
      <c r="I12" s="1">
        <f>COUNTIF(Tabulka171013253137[[#This Row],[Výsledný čas]],"NEÚČAST")</f>
        <v>0</v>
      </c>
      <c r="J12" s="1">
        <f>IF(Tabulka171013253137[[#This Row],[Výsledný čas]]="N",998,IF(Tabulka171013253137[[#This Row],[Výsledný čas]]="D",998,IF(Tabulka171013253137[[#This Row],[Výsledný čas]]="","",Tabulka171013253137[[#This Row],[Výsledný čas]])))</f>
        <v>16.484999999999999</v>
      </c>
      <c r="N12" s="58" t="s">
        <v>59</v>
      </c>
      <c r="O12" s="59">
        <f>IF(Tabulka1710136303642[[#This Row],[ ]]="","",IF(Tabulka1710136303642[[#This Row],[ ]]="NEÚČAST","",IF(OR(Tabulka1710136303642[Výsledný čas]="N",Tabulka1710136303642[Výsledný čas]="D"),$X$4-$X$5,_xlfn.RANK.EQ(Tabulka1710136303642[[#This Row],[ ]],Tabulka1710136303642[[ ]],1))))</f>
        <v>10</v>
      </c>
      <c r="P12" s="89" t="s">
        <v>21</v>
      </c>
      <c r="Q12" s="90">
        <v>24.998000000000001</v>
      </c>
      <c r="R12" s="90">
        <v>21.876000000000001</v>
      </c>
      <c r="S12" s="60">
        <f>IF(OR(Tabulka1710136303642[[#This Row],[LP]]="N",Tabulka1710136303642[[#This Row],[PP]]="N"),"N",IF(OR(Tabulka1710136303642[[#This Row],[LP]]="D",Tabulka1710136303642[[#This Row],[PP]]="D"),"D",IF(OR(Tabulka1710136303642[[#This Row],[LP]]="NEÚČAST",Tabulka1710136303642[[#This Row],[PP]]="NEÚČAST"),"NEÚČAST",IF(OR(Tabulka1710136303642[[#This Row],[LP]]="",Tabulka1710136303642[[#This Row],[PP]]=""),"",MAX(Tabulka1710136303642[[#This Row],[LP]:[PP]])))))</f>
        <v>24.998000000000001</v>
      </c>
      <c r="T12" s="243">
        <f>COUNTIF(Tabulka1710136303642[[#This Row],[Tým]],"*")</f>
        <v>1</v>
      </c>
      <c r="U12" s="158">
        <f>COUNTIF(Tabulka1710136303642[[#This Row],[Výsledný čas]],"NEÚČAST")</f>
        <v>0</v>
      </c>
      <c r="V12" s="60">
        <f>IF(Tabulka1710136303642[[#This Row],[Výsledný čas]]="N",998,IF(Tabulka1710136303642[[#This Row],[Výsledný čas]]="D",998,IF(Tabulka1710136303642[[#This Row],[Výsledný čas]]="","",Tabulka1710136303642[[#This Row],[Výsledný čas]])))</f>
        <v>24.998000000000001</v>
      </c>
      <c r="Y12" s="15"/>
      <c r="Z12" s="31">
        <f>IF(OR(Tabulka381114263238[Výsledný čas]="N",Tabulka381114263238[Výsledný čas]="D",Tabulka381114263238[Výsledný čas]="NEÚČAST"),Uvod!$E$4,_xlfn.RANK.EQ(Tabulka381114263238[[#This Row],[ ]],Tabulka381114263238[[ ]],1))</f>
        <v>9</v>
      </c>
      <c r="AA12" s="51" t="s">
        <v>11</v>
      </c>
      <c r="AB12" s="44">
        <f>VLOOKUP(Tabulka381114263238[[#This Row],[Tým]],Tabulka171013253137[[Tým]:[ ]],2,FALSE)</f>
        <v>16.841000000000001</v>
      </c>
      <c r="AC12" s="44">
        <f>VLOOKUP(Tabulka381114263238[[#This Row],[Tým]],Tabulka171013253137[[Tým]:[ ]],3,FALSE)</f>
        <v>16.166</v>
      </c>
      <c r="AD12" s="25">
        <f>VLOOKUP(Tabulka381114263238[[#This Row],[Tým]],Tabulka171013253137[[Tým]:[ ]],4,FALSE)</f>
        <v>16.841000000000001</v>
      </c>
      <c r="AE12" s="25">
        <f>VLOOKUP(Tabulka381114263238[[#This Row],[Tým]],Tabulka171013253137[[Tým]:[ ]],7,FALSE)</f>
        <v>16.841000000000001</v>
      </c>
      <c r="AF12" s="29">
        <f>IF(Tabulka381114263238[[#This Row],[Výsledný čas]]="N",5,IF(Tabulka381114263238[[#This Row],[Výsledný čas]]="D",0,IF(Tabulka381114263238[[#This Row],[Výsledný čas]]="NEÚČAST",0,Tabulka4[[#Totals],[Týmy muži]]+6-Tabulka381114263238[[#This Row],[Umístění]])))</f>
        <v>16</v>
      </c>
      <c r="AH12" s="31">
        <f>_xlfn.RANK.EQ(Tabulka591215273339[[#This Row],[Body]],Tabulka591215273339[Body],0)</f>
        <v>9</v>
      </c>
      <c r="AI12" s="51" t="s">
        <v>11</v>
      </c>
      <c r="AJ12" s="29">
        <f>VLOOKUP(Tabulka591215273339[[#This Row],[Tým]],Tabulka381114263238[[Tým]:[Body]],6,FALSE)+Tabulka591215273339[[#This Row],[ ]]</f>
        <v>75</v>
      </c>
      <c r="AK12" s="82">
        <f>VLOOKUP(Tabulka591215273339[[#This Row],[Tým]],Tabulka5912152733[[Tým]:[Body]],2,FALSE)</f>
        <v>59</v>
      </c>
      <c r="AL12" s="47">
        <f>Tabulka591215273339[[#This Row],[Umístění]]</f>
        <v>9</v>
      </c>
      <c r="AM12" s="15"/>
      <c r="AP12" s="1"/>
    </row>
    <row r="13" spans="1:42" ht="24.95" customHeight="1" x14ac:dyDescent="0.45">
      <c r="B13" s="6" t="s">
        <v>41</v>
      </c>
      <c r="C13" s="1">
        <f>IF(Tabulka171013253137[[#This Row],[ ]]="","",IF(Tabulka171013253137[[#This Row],[ ]]="NEÚČAST","",IF(OR(Tabulka171013253137[Výsledný čas]="N",Tabulka171013253137[Výsledný čas]="D"),$L$4-$L$5,_xlfn.RANK.EQ(Tabulka171013253137[[#This Row],[ ]],Tabulka171013253137[[ ]],1))))</f>
        <v>10</v>
      </c>
      <c r="D13" s="162" t="s">
        <v>127</v>
      </c>
      <c r="E13" s="120">
        <v>16.707999999999998</v>
      </c>
      <c r="F13" s="120">
        <v>15.871</v>
      </c>
      <c r="G13" s="9">
        <f>IF(OR(Tabulka171013253137[[#This Row],[LP]]="N",Tabulka171013253137[[#This Row],[PP]]="N"),"N",IF(OR(Tabulka171013253137[[#This Row],[LP]]="D",Tabulka171013253137[[#This Row],[PP]]="D"),"D",IF(OR(Tabulka171013253137[[#This Row],[LP]]="NEÚČAST",Tabulka171013253137[[#This Row],[PP]]="NEÚČAST"),"NEÚČAST",IF(OR(Tabulka171013253137[[#This Row],[LP]]="",Tabulka171013253137[[#This Row],[PP]]=""),"",MAX(Tabulka171013253137[[#This Row],[LP]:[PP]])))))</f>
        <v>16.707999999999998</v>
      </c>
      <c r="H13" s="1">
        <f>COUNTIF(Tabulka171013253137[[#This Row],[Tým]],"*")</f>
        <v>1</v>
      </c>
      <c r="I13" s="1">
        <f>COUNTIF(Tabulka171013253137[[#This Row],[Výsledný čas]],"NEÚČAST")</f>
        <v>0</v>
      </c>
      <c r="J13" s="1">
        <f>IF(Tabulka171013253137[[#This Row],[Výsledný čas]]="N",998,IF(Tabulka171013253137[[#This Row],[Výsledný čas]]="D",998,IF(Tabulka171013253137[[#This Row],[Výsledný čas]]="","",Tabulka171013253137[[#This Row],[Výsledný čas]])))</f>
        <v>16.707999999999998</v>
      </c>
      <c r="N13" s="31" t="s">
        <v>129</v>
      </c>
      <c r="O13" s="25">
        <f>IF(Tabulka1710136303642[[#This Row],[ ]]="","",IF(Tabulka1710136303642[[#This Row],[ ]]="NEÚČAST","",IF(OR(Tabulka1710136303642[Výsledný čas]="N",Tabulka1710136303642[Výsledný čas]="D"),$X$4-$X$5,_xlfn.RANK.EQ(Tabulka1710136303642[[#This Row],[ ]],Tabulka1710136303642[[ ]],1))))</f>
        <v>11</v>
      </c>
      <c r="P13" s="26" t="s">
        <v>118</v>
      </c>
      <c r="Q13" s="5">
        <v>22.245999999999999</v>
      </c>
      <c r="R13" s="5">
        <v>29.852</v>
      </c>
      <c r="S13" s="29">
        <f>IF(OR(Tabulka1710136303642[[#This Row],[LP]]="N",Tabulka1710136303642[[#This Row],[PP]]="N"),"N",IF(OR(Tabulka1710136303642[[#This Row],[LP]]="D",Tabulka1710136303642[[#This Row],[PP]]="D"),"D",IF(OR(Tabulka1710136303642[[#This Row],[LP]]="NEÚČAST",Tabulka1710136303642[[#This Row],[PP]]="NEÚČAST"),"NEÚČAST",IF(OR(Tabulka1710136303642[[#This Row],[LP]]="",Tabulka1710136303642[[#This Row],[PP]]=""),"",MAX(Tabulka1710136303642[[#This Row],[LP]:[PP]])))))</f>
        <v>29.852</v>
      </c>
      <c r="T13" s="240">
        <f>COUNTIF(Tabulka1710136303642[[#This Row],[Tým]],"*")</f>
        <v>1</v>
      </c>
      <c r="U13" s="46">
        <f>COUNTIF(Tabulka1710136303642[[#This Row],[Výsledný čas]],"NEÚČAST")</f>
        <v>0</v>
      </c>
      <c r="V13" s="29">
        <f>IF(Tabulka1710136303642[[#This Row],[Výsledný čas]]="N",998,IF(Tabulka1710136303642[[#This Row],[Výsledný čas]]="D",998,IF(Tabulka1710136303642[[#This Row],[Výsledný čas]]="","",Tabulka1710136303642[[#This Row],[Výsledný čas]])))</f>
        <v>29.852</v>
      </c>
      <c r="Z13" s="31">
        <f>IF(OR(Tabulka381114263238[Výsledný čas]="N",Tabulka381114263238[Výsledný čas]="D",Tabulka381114263238[Výsledný čas]="NEÚČAST"),Uvod!$E$4,_xlfn.RANK.EQ(Tabulka381114263238[[#This Row],[ ]],Tabulka381114263238[[ ]],1))</f>
        <v>10</v>
      </c>
      <c r="AA13" s="51" t="s">
        <v>14</v>
      </c>
      <c r="AB13" s="44">
        <f>VLOOKUP(Tabulka381114263238[[#This Row],[Tým]],Tabulka171013253137[[Tým]:[ ]],2,FALSE)</f>
        <v>17.510999999999999</v>
      </c>
      <c r="AC13" s="44">
        <f>VLOOKUP(Tabulka381114263238[[#This Row],[Tým]],Tabulka171013253137[[Tým]:[ ]],3,FALSE)</f>
        <v>17.064</v>
      </c>
      <c r="AD13" s="25">
        <f>VLOOKUP(Tabulka381114263238[[#This Row],[Tým]],Tabulka171013253137[[Tým]:[ ]],4,FALSE)</f>
        <v>17.510999999999999</v>
      </c>
      <c r="AE13" s="25">
        <f>VLOOKUP(Tabulka381114263238[[#This Row],[Tým]],Tabulka171013253137[[Tým]:[ ]],7,FALSE)</f>
        <v>17.510999999999999</v>
      </c>
      <c r="AF13" s="29">
        <f>IF(Tabulka381114263238[[#This Row],[Výsledný čas]]="N",5,IF(Tabulka381114263238[[#This Row],[Výsledný čas]]="D",0,IF(Tabulka381114263238[[#This Row],[Výsledný čas]]="NEÚČAST",0,Tabulka4[[#Totals],[Týmy muži]]+6-Tabulka381114263238[[#This Row],[Umístění]])))</f>
        <v>15</v>
      </c>
      <c r="AH13" s="31">
        <f>_xlfn.RANK.EQ(Tabulka591215273339[[#This Row],[Body]],Tabulka591215273339[Body],0)</f>
        <v>10</v>
      </c>
      <c r="AI13" s="97" t="s">
        <v>13</v>
      </c>
      <c r="AJ13" s="29">
        <f>VLOOKUP(Tabulka591215273339[[#This Row],[Tým]],Tabulka381114263238[[Tým]:[Body]],6,FALSE)+Tabulka591215273339[[#This Row],[ ]]</f>
        <v>72</v>
      </c>
      <c r="AK13" s="82">
        <f>VLOOKUP(Tabulka591215273339[[#This Row],[Tým]],Tabulka5912152733[[Tým]:[Body]],2,FALSE)</f>
        <v>52</v>
      </c>
      <c r="AL13" s="47">
        <f>Tabulka591215273339[[#This Row],[Umístění]]</f>
        <v>10</v>
      </c>
      <c r="AM13" s="15"/>
      <c r="AP13" s="1"/>
    </row>
    <row r="14" spans="1:42" ht="24.95" customHeight="1" x14ac:dyDescent="0.45">
      <c r="B14" s="6" t="s">
        <v>53</v>
      </c>
      <c r="C14" s="1">
        <f>IF(Tabulka171013253137[[#This Row],[ ]]="","",IF(Tabulka171013253137[[#This Row],[ ]]="NEÚČAST","",IF(OR(Tabulka171013253137[Výsledný čas]="N",Tabulka171013253137[Výsledný čas]="D"),$L$4-$L$5,_xlfn.RANK.EQ(Tabulka171013253137[[#This Row],[ ]],Tabulka171013253137[[ ]],1))))</f>
        <v>11</v>
      </c>
      <c r="D14" s="163" t="s">
        <v>11</v>
      </c>
      <c r="E14" s="122">
        <v>16.841000000000001</v>
      </c>
      <c r="F14" s="122">
        <v>16.166</v>
      </c>
      <c r="G14" s="9">
        <f>IF(OR(Tabulka171013253137[[#This Row],[LP]]="N",Tabulka171013253137[[#This Row],[PP]]="N"),"N",IF(OR(Tabulka171013253137[[#This Row],[LP]]="D",Tabulka171013253137[[#This Row],[PP]]="D"),"D",IF(OR(Tabulka171013253137[[#This Row],[LP]]="NEÚČAST",Tabulka171013253137[[#This Row],[PP]]="NEÚČAST"),"NEÚČAST",IF(OR(Tabulka171013253137[[#This Row],[LP]]="",Tabulka171013253137[[#This Row],[PP]]=""),"",MAX(Tabulka171013253137[[#This Row],[LP]:[PP]])))))</f>
        <v>16.841000000000001</v>
      </c>
      <c r="H14" s="1">
        <f>COUNTIF(Tabulka171013253137[[#This Row],[Tým]],"*")</f>
        <v>1</v>
      </c>
      <c r="I14" s="1">
        <f>COUNTIF(Tabulka171013253137[[#This Row],[Výsledný čas]],"NEÚČAST")</f>
        <v>0</v>
      </c>
      <c r="J14" s="1">
        <f>IF(Tabulka171013253137[[#This Row],[Výsledný čas]]="N",998,IF(Tabulka171013253137[[#This Row],[Výsledný čas]]="D",998,IF(Tabulka171013253137[[#This Row],[Výsledný čas]]="","",Tabulka171013253137[[#This Row],[Výsledný čas]])))</f>
        <v>16.841000000000001</v>
      </c>
      <c r="N14" s="31" t="s">
        <v>102</v>
      </c>
      <c r="O14" s="25">
        <f>IF(Tabulka1710136303642[[#This Row],[ ]]="","",IF(Tabulka1710136303642[[#This Row],[ ]]="NEÚČAST","",IF(OR(Tabulka1710136303642[Výsledný čas]="N",Tabulka1710136303642[Výsledný čas]="D"),$X$4-$X$5,_xlfn.RANK.EQ(Tabulka1710136303642[[#This Row],[ ]],Tabulka1710136303642[[ ]],1))))</f>
        <v>12</v>
      </c>
      <c r="P14" s="26" t="s">
        <v>125</v>
      </c>
      <c r="Q14" s="5">
        <v>32.817999999999998</v>
      </c>
      <c r="R14" s="5">
        <v>30.728000000000002</v>
      </c>
      <c r="S14" s="29">
        <f>IF(OR(Tabulka1710136303642[[#This Row],[LP]]="N",Tabulka1710136303642[[#This Row],[PP]]="N"),"N",IF(OR(Tabulka1710136303642[[#This Row],[LP]]="D",Tabulka1710136303642[[#This Row],[PP]]="D"),"D",IF(OR(Tabulka1710136303642[[#This Row],[LP]]="NEÚČAST",Tabulka1710136303642[[#This Row],[PP]]="NEÚČAST"),"NEÚČAST",IF(OR(Tabulka1710136303642[[#This Row],[LP]]="",Tabulka1710136303642[[#This Row],[PP]]=""),"",MAX(Tabulka1710136303642[[#This Row],[LP]:[PP]])))))</f>
        <v>32.817999999999998</v>
      </c>
      <c r="T14" s="240">
        <f>COUNTIF(Tabulka1710136303642[[#This Row],[Tým]],"*")</f>
        <v>1</v>
      </c>
      <c r="U14" s="46">
        <f>COUNTIF(Tabulka1710136303642[[#This Row],[Výsledný čas]],"NEÚČAST")</f>
        <v>0</v>
      </c>
      <c r="V14" s="29">
        <f>IF(Tabulka1710136303642[[#This Row],[Výsledný čas]]="N",998,IF(Tabulka1710136303642[[#This Row],[Výsledný čas]]="D",998,IF(Tabulka1710136303642[[#This Row],[Výsledný čas]]="","",Tabulka1710136303642[[#This Row],[Výsledný čas]])))</f>
        <v>32.817999999999998</v>
      </c>
      <c r="Z14" s="31">
        <f>IF(OR(Tabulka381114263238[Výsledný čas]="N",Tabulka381114263238[Výsledný čas]="D",Tabulka381114263238[Výsledný čas]="NEÚČAST"),Uvod!$E$4,_xlfn.RANK.EQ(Tabulka381114263238[[#This Row],[ ]],Tabulka381114263238[[ ]],1))</f>
        <v>11</v>
      </c>
      <c r="AA14" s="51" t="s">
        <v>24</v>
      </c>
      <c r="AB14" s="44">
        <f>VLOOKUP(Tabulka381114263238[[#This Row],[Tým]],Tabulka171013253137[[Tým]:[ ]],2,FALSE)</f>
        <v>17.664000000000001</v>
      </c>
      <c r="AC14" s="44">
        <f>VLOOKUP(Tabulka381114263238[[#This Row],[Tým]],Tabulka171013253137[[Tým]:[ ]],3,FALSE)</f>
        <v>17.213000000000001</v>
      </c>
      <c r="AD14" s="25">
        <f>VLOOKUP(Tabulka381114263238[[#This Row],[Tým]],Tabulka171013253137[[Tým]:[ ]],4,FALSE)</f>
        <v>17.664000000000001</v>
      </c>
      <c r="AE14" s="25">
        <f>VLOOKUP(Tabulka381114263238[[#This Row],[Tým]],Tabulka171013253137[[Tým]:[ ]],7,FALSE)</f>
        <v>17.664000000000001</v>
      </c>
      <c r="AF14" s="29">
        <f>IF(Tabulka381114263238[[#This Row],[Výsledný čas]]="N",5,IF(Tabulka381114263238[[#This Row],[Výsledný čas]]="D",0,IF(Tabulka381114263238[[#This Row],[Výsledný čas]]="NEÚČAST",0,Tabulka4[[#Totals],[Týmy muži]]+6-Tabulka381114263238[[#This Row],[Umístění]])))</f>
        <v>14</v>
      </c>
      <c r="AH14" s="31">
        <f>_xlfn.RANK.EQ(Tabulka591215273339[[#This Row],[Body]],Tabulka591215273339[Body],0)</f>
        <v>11</v>
      </c>
      <c r="AI14" s="51" t="s">
        <v>14</v>
      </c>
      <c r="AJ14" s="29">
        <f>VLOOKUP(Tabulka591215273339[[#This Row],[Tým]],Tabulka381114263238[[Tým]:[Body]],6,FALSE)+Tabulka591215273339[[#This Row],[ ]]</f>
        <v>67</v>
      </c>
      <c r="AK14" s="82">
        <f>VLOOKUP(Tabulka591215273339[[#This Row],[Tým]],Tabulka5912152733[[Tým]:[Body]],2,FALSE)</f>
        <v>52</v>
      </c>
      <c r="AL14" s="47">
        <f>Tabulka591215273339[[#This Row],[Umístění]]</f>
        <v>11</v>
      </c>
      <c r="AM14" s="15"/>
      <c r="AP14" s="1"/>
    </row>
    <row r="15" spans="1:42" ht="24.95" customHeight="1" x14ac:dyDescent="0.4">
      <c r="B15" s="6" t="s">
        <v>42</v>
      </c>
      <c r="C15" s="1">
        <f>IF(Tabulka171013253137[[#This Row],[ ]]="","",IF(Tabulka171013253137[[#This Row],[ ]]="NEÚČAST","",IF(OR(Tabulka171013253137[Výsledný čas]="N",Tabulka171013253137[Výsledný čas]="D"),$L$4-$L$5,_xlfn.RANK.EQ(Tabulka171013253137[[#This Row],[ ]],Tabulka171013253137[[ ]],1))))</f>
        <v>12</v>
      </c>
      <c r="D15" s="7" t="s">
        <v>14</v>
      </c>
      <c r="E15" s="8">
        <v>17.510999999999999</v>
      </c>
      <c r="F15" s="8">
        <v>17.064</v>
      </c>
      <c r="G15" s="9">
        <f>IF(OR(Tabulka171013253137[[#This Row],[LP]]="N",Tabulka171013253137[[#This Row],[PP]]="N"),"N",IF(OR(Tabulka171013253137[[#This Row],[LP]]="D",Tabulka171013253137[[#This Row],[PP]]="D"),"D",IF(OR(Tabulka171013253137[[#This Row],[LP]]="NEÚČAST",Tabulka171013253137[[#This Row],[PP]]="NEÚČAST"),"NEÚČAST",IF(OR(Tabulka171013253137[[#This Row],[LP]]="",Tabulka171013253137[[#This Row],[PP]]=""),"",MAX(Tabulka171013253137[[#This Row],[LP]:[PP]])))))</f>
        <v>17.510999999999999</v>
      </c>
      <c r="H15" s="1">
        <f>COUNTIF(Tabulka171013253137[[#This Row],[Tým]],"*")</f>
        <v>1</v>
      </c>
      <c r="I15" s="1">
        <f>COUNTIF(Tabulka171013253137[[#This Row],[Výsledný čas]],"NEÚČAST")</f>
        <v>0</v>
      </c>
      <c r="J15" s="1">
        <f>IF(Tabulka171013253137[[#This Row],[Výsledný čas]]="N",998,IF(Tabulka171013253137[[#This Row],[Výsledný čas]]="D",998,IF(Tabulka171013253137[[#This Row],[Výsledný čas]]="","",Tabulka171013253137[[#This Row],[Výsledný čas]])))</f>
        <v>17.510999999999999</v>
      </c>
      <c r="N15" s="31" t="s">
        <v>63</v>
      </c>
      <c r="O15" s="25">
        <f>IF(Tabulka1710136303642[[#This Row],[ ]]="","",IF(Tabulka1710136303642[[#This Row],[ ]]="NEÚČAST","",IF(OR(Tabulka1710136303642[Výsledný čas]="N",Tabulka1710136303642[Výsledný čas]="D"),$X$4-$X$5,_xlfn.RANK.EQ(Tabulka1710136303642[[#This Row],[ ]],Tabulka1710136303642[[ ]],1))))</f>
        <v>13</v>
      </c>
      <c r="P15" s="26" t="s">
        <v>36</v>
      </c>
      <c r="Q15" s="5">
        <v>32.936</v>
      </c>
      <c r="R15" s="5">
        <v>33.33</v>
      </c>
      <c r="S15" s="29">
        <f>IF(OR(Tabulka1710136303642[[#This Row],[LP]]="N",Tabulka1710136303642[[#This Row],[PP]]="N"),"N",IF(OR(Tabulka1710136303642[[#This Row],[LP]]="D",Tabulka1710136303642[[#This Row],[PP]]="D"),"D",IF(OR(Tabulka1710136303642[[#This Row],[LP]]="NEÚČAST",Tabulka1710136303642[[#This Row],[PP]]="NEÚČAST"),"NEÚČAST",IF(OR(Tabulka1710136303642[[#This Row],[LP]]="",Tabulka1710136303642[[#This Row],[PP]]=""),"",MAX(Tabulka1710136303642[[#This Row],[LP]:[PP]])))))</f>
        <v>33.33</v>
      </c>
      <c r="T15" s="240">
        <f>COUNTIF(Tabulka1710136303642[[#This Row],[Tým]],"*")</f>
        <v>1</v>
      </c>
      <c r="U15" s="46">
        <f>COUNTIF(Tabulka1710136303642[[#This Row],[Výsledný čas]],"NEÚČAST")</f>
        <v>0</v>
      </c>
      <c r="V15" s="29">
        <f>IF(Tabulka1710136303642[[#This Row],[Výsledný čas]]="N",998,IF(Tabulka1710136303642[[#This Row],[Výsledný čas]]="D",998,IF(Tabulka1710136303642[[#This Row],[Výsledný čas]]="","",Tabulka1710136303642[[#This Row],[Výsledný čas]])))</f>
        <v>33.33</v>
      </c>
      <c r="Z15" s="31">
        <f>IF(OR(Tabulka381114263238[Výsledný čas]="N",Tabulka381114263238[Výsledný čas]="D",Tabulka381114263238[Výsledný čas]="NEÚČAST"),Uvod!$E$4,_xlfn.RANK.EQ(Tabulka381114263238[[#This Row],[ ]],Tabulka381114263238[[ ]],1))</f>
        <v>12</v>
      </c>
      <c r="AA15" s="51" t="s">
        <v>25</v>
      </c>
      <c r="AB15" s="44">
        <f>VLOOKUP(Tabulka381114263238[[#This Row],[Tým]],Tabulka171013253137[[Tým]:[ ]],2,FALSE)</f>
        <v>21.622</v>
      </c>
      <c r="AC15" s="44">
        <f>VLOOKUP(Tabulka381114263238[[#This Row],[Tým]],Tabulka171013253137[[Tým]:[ ]],3,FALSE)</f>
        <v>22.818999999999999</v>
      </c>
      <c r="AD15" s="25">
        <f>VLOOKUP(Tabulka381114263238[[#This Row],[Tým]],Tabulka171013253137[[Tým]:[ ]],4,FALSE)</f>
        <v>22.818999999999999</v>
      </c>
      <c r="AE15" s="25">
        <f>VLOOKUP(Tabulka381114263238[[#This Row],[Tým]],Tabulka171013253137[[Tým]:[ ]],7,FALSE)</f>
        <v>22.818999999999999</v>
      </c>
      <c r="AF15" s="29">
        <f>IF(Tabulka381114263238[[#This Row],[Výsledný čas]]="N",5,IF(Tabulka381114263238[[#This Row],[Výsledný čas]]="D",0,IF(Tabulka381114263238[[#This Row],[Výsledný čas]]="NEÚČAST",0,Tabulka4[[#Totals],[Týmy muži]]+6-Tabulka381114263238[[#This Row],[Umístění]])))</f>
        <v>13</v>
      </c>
      <c r="AH15" s="31">
        <f>_xlfn.RANK.EQ(Tabulka591215273339[[#This Row],[Body]],Tabulka591215273339[Body],0)</f>
        <v>12</v>
      </c>
      <c r="AI15" s="51" t="s">
        <v>18</v>
      </c>
      <c r="AJ15" s="29">
        <f>VLOOKUP(Tabulka591215273339[[#This Row],[Tým]],Tabulka381114263238[[Tým]:[Body]],6,FALSE)+Tabulka591215273339[[#This Row],[ ]]</f>
        <v>66</v>
      </c>
      <c r="AK15" s="82">
        <f>VLOOKUP(Tabulka591215273339[[#This Row],[Tým]],Tabulka5912152733[[Tým]:[Body]],2,FALSE)</f>
        <v>49</v>
      </c>
      <c r="AL15" s="47">
        <f>Tabulka591215273339[[#This Row],[Umístění]]</f>
        <v>12</v>
      </c>
      <c r="AM15" s="15"/>
      <c r="AP15" s="1"/>
    </row>
    <row r="16" spans="1:42" ht="24.95" customHeight="1" x14ac:dyDescent="0.4">
      <c r="B16" s="11" t="s">
        <v>52</v>
      </c>
      <c r="C16" s="1">
        <f>IF(Tabulka171013253137[[#This Row],[ ]]="","",IF(Tabulka171013253137[[#This Row],[ ]]="NEÚČAST","",IF(OR(Tabulka171013253137[Výsledný čas]="N",Tabulka171013253137[Výsledný čas]="D"),$L$4-$L$5,_xlfn.RANK.EQ(Tabulka171013253137[[#This Row],[ ]],Tabulka171013253137[[ ]],1))))</f>
        <v>13</v>
      </c>
      <c r="D16" s="7" t="s">
        <v>24</v>
      </c>
      <c r="E16" s="8">
        <v>17.664000000000001</v>
      </c>
      <c r="F16" s="8">
        <v>17.213000000000001</v>
      </c>
      <c r="G16" s="9">
        <f>IF(OR(Tabulka171013253137[[#This Row],[LP]]="N",Tabulka171013253137[[#This Row],[PP]]="N"),"N",IF(OR(Tabulka171013253137[[#This Row],[LP]]="D",Tabulka171013253137[[#This Row],[PP]]="D"),"D",IF(OR(Tabulka171013253137[[#This Row],[LP]]="NEÚČAST",Tabulka171013253137[[#This Row],[PP]]="NEÚČAST"),"NEÚČAST",IF(OR(Tabulka171013253137[[#This Row],[LP]]="",Tabulka171013253137[[#This Row],[PP]]=""),"",MAX(Tabulka171013253137[[#This Row],[LP]:[PP]])))))</f>
        <v>17.664000000000001</v>
      </c>
      <c r="H16" s="1">
        <f>COUNTIF(Tabulka171013253137[[#This Row],[Tým]],"*")</f>
        <v>1</v>
      </c>
      <c r="I16" s="1">
        <f>COUNTIF(Tabulka171013253137[[#This Row],[Výsledný čas]],"NEÚČAST")</f>
        <v>0</v>
      </c>
      <c r="J16" s="1">
        <f>IF(Tabulka171013253137[[#This Row],[Výsledný čas]]="N",998,IF(Tabulka171013253137[[#This Row],[Výsledný čas]]="D",998,IF(Tabulka171013253137[[#This Row],[Výsledný čas]]="","",Tabulka171013253137[[#This Row],[Výsledný čas]])))</f>
        <v>17.664000000000001</v>
      </c>
      <c r="N16" s="31" t="s">
        <v>57</v>
      </c>
      <c r="O16" s="25">
        <f>IF(Tabulka1710136303642[[#This Row],[ ]]="","",IF(Tabulka1710136303642[[#This Row],[ ]]="NEÚČAST","",IF(OR(Tabulka1710136303642[Výsledný čas]="N",Tabulka1710136303642[Výsledný čas]="D"),$X$4-$X$5,_xlfn.RANK.EQ(Tabulka1710136303642[[#This Row],[ ]],Tabulka1710136303642[[ ]],1))))</f>
        <v>14</v>
      </c>
      <c r="P16" s="26" t="s">
        <v>96</v>
      </c>
      <c r="Q16" s="5">
        <v>18.846</v>
      </c>
      <c r="R16" s="5">
        <v>39.915999999999997</v>
      </c>
      <c r="S16" s="29">
        <f>IF(OR(Tabulka1710136303642[[#This Row],[LP]]="N",Tabulka1710136303642[[#This Row],[PP]]="N"),"N",IF(OR(Tabulka1710136303642[[#This Row],[LP]]="D",Tabulka1710136303642[[#This Row],[PP]]="D"),"D",IF(OR(Tabulka1710136303642[[#This Row],[LP]]="NEÚČAST",Tabulka1710136303642[[#This Row],[PP]]="NEÚČAST"),"NEÚČAST",IF(OR(Tabulka1710136303642[[#This Row],[LP]]="",Tabulka1710136303642[[#This Row],[PP]]=""),"",MAX(Tabulka1710136303642[[#This Row],[LP]:[PP]])))))</f>
        <v>39.915999999999997</v>
      </c>
      <c r="T16" s="240">
        <f>COUNTIF(Tabulka1710136303642[[#This Row],[Tým]],"*")</f>
        <v>1</v>
      </c>
      <c r="U16" s="46">
        <f>COUNTIF(Tabulka1710136303642[[#This Row],[Výsledný čas]],"NEÚČAST")</f>
        <v>0</v>
      </c>
      <c r="V16" s="29">
        <f>IF(Tabulka1710136303642[[#This Row],[Výsledný čas]]="N",998,IF(Tabulka1710136303642[[#This Row],[Výsledný čas]]="D",998,IF(Tabulka1710136303642[[#This Row],[Výsledný čas]]="","",Tabulka1710136303642[[#This Row],[Výsledný čas]])))</f>
        <v>39.915999999999997</v>
      </c>
      <c r="Z16" s="31">
        <f>IF(OR(Tabulka381114263238[Výsledný čas]="N",Tabulka381114263238[Výsledný čas]="D",Tabulka381114263238[Výsledný čas]="NEÚČAST"),Uvod!$E$4,_xlfn.RANK.EQ(Tabulka381114263238[[#This Row],[ ]],Tabulka381114263238[[ ]],1))</f>
        <v>13</v>
      </c>
      <c r="AA16" s="51" t="s">
        <v>20</v>
      </c>
      <c r="AB16" s="44">
        <f>VLOOKUP(Tabulka381114263238[[#This Row],[Tým]],Tabulka171013253137[[Tým]:[ ]],2,FALSE)</f>
        <v>26.329000000000001</v>
      </c>
      <c r="AC16" s="44">
        <f>VLOOKUP(Tabulka381114263238[[#This Row],[Tým]],Tabulka171013253137[[Tým]:[ ]],3,FALSE)</f>
        <v>27.277999999999999</v>
      </c>
      <c r="AD16" s="25">
        <f>VLOOKUP(Tabulka381114263238[[#This Row],[Tým]],Tabulka171013253137[[Tým]:[ ]],4,FALSE)</f>
        <v>27.277999999999999</v>
      </c>
      <c r="AE16" s="25">
        <f>VLOOKUP(Tabulka381114263238[[#This Row],[Tým]],Tabulka171013253137[[Tým]:[ ]],7,FALSE)</f>
        <v>27.277999999999999</v>
      </c>
      <c r="AF16" s="29">
        <f>IF(Tabulka381114263238[[#This Row],[Výsledný čas]]="N",5,IF(Tabulka381114263238[[#This Row],[Výsledný čas]]="D",0,IF(Tabulka381114263238[[#This Row],[Výsledný čas]]="NEÚČAST",0,Tabulka4[[#Totals],[Týmy muži]]+6-Tabulka381114263238[[#This Row],[Umístění]])))</f>
        <v>12</v>
      </c>
      <c r="AH16" s="31">
        <f>_xlfn.RANK.EQ(Tabulka591215273339[[#This Row],[Body]],Tabulka591215273339[Body],0)</f>
        <v>12</v>
      </c>
      <c r="AI16" s="51" t="s">
        <v>25</v>
      </c>
      <c r="AJ16" s="29">
        <f>VLOOKUP(Tabulka591215273339[[#This Row],[Tým]],Tabulka381114263238[[Tým]:[Body]],6,FALSE)+Tabulka591215273339[[#This Row],[ ]]</f>
        <v>66</v>
      </c>
      <c r="AK16" s="82">
        <f>VLOOKUP(Tabulka591215273339[[#This Row],[Tým]],Tabulka5912152733[[Tým]:[Body]],2,FALSE)</f>
        <v>53</v>
      </c>
      <c r="AL16" s="47">
        <f>Tabulka591215273339[[#This Row],[Umístění]]</f>
        <v>12</v>
      </c>
      <c r="AM16" s="15"/>
      <c r="AP16" s="1"/>
    </row>
    <row r="17" spans="2:42" ht="24.95" customHeight="1" x14ac:dyDescent="0.4">
      <c r="B17" s="6" t="s">
        <v>56</v>
      </c>
      <c r="C17" s="1">
        <f>IF(Tabulka171013253137[[#This Row],[ ]]="","",IF(Tabulka171013253137[[#This Row],[ ]]="NEÚČAST","",IF(OR(Tabulka171013253137[Výsledný čas]="N",Tabulka171013253137[Výsledný čas]="D"),$L$4-$L$5,_xlfn.RANK.EQ(Tabulka171013253137[[#This Row],[ ]],Tabulka171013253137[[ ]],1))))</f>
        <v>14</v>
      </c>
      <c r="D17" s="12" t="s">
        <v>92</v>
      </c>
      <c r="E17" s="8">
        <v>18.867000000000001</v>
      </c>
      <c r="F17" s="8">
        <v>18.959</v>
      </c>
      <c r="G17" s="9">
        <f>IF(OR(Tabulka171013253137[[#This Row],[LP]]="N",Tabulka171013253137[[#This Row],[PP]]="N"),"N",IF(OR(Tabulka171013253137[[#This Row],[LP]]="D",Tabulka171013253137[[#This Row],[PP]]="D"),"D",IF(OR(Tabulka171013253137[[#This Row],[LP]]="NEÚČAST",Tabulka171013253137[[#This Row],[PP]]="NEÚČAST"),"NEÚČAST",IF(OR(Tabulka171013253137[[#This Row],[LP]]="",Tabulka171013253137[[#This Row],[PP]]=""),"",MAX(Tabulka171013253137[[#This Row],[LP]:[PP]])))))</f>
        <v>18.959</v>
      </c>
      <c r="H17" s="1">
        <f>COUNTIF(Tabulka171013253137[[#This Row],[Tým]],"*")</f>
        <v>1</v>
      </c>
      <c r="I17" s="1">
        <f>COUNTIF(Tabulka171013253137[[#This Row],[Výsledný čas]],"NEÚČAST")</f>
        <v>0</v>
      </c>
      <c r="J17" s="1">
        <f>IF(Tabulka171013253137[[#This Row],[Výsledný čas]]="N",998,IF(Tabulka171013253137[[#This Row],[Výsledný čas]]="D",998,IF(Tabulka171013253137[[#This Row],[Výsledný čas]]="","",Tabulka171013253137[[#This Row],[Výsledný čas]])))</f>
        <v>18.959</v>
      </c>
      <c r="N17" s="31" t="s">
        <v>69</v>
      </c>
      <c r="O17" s="25">
        <f>IF(Tabulka1710136303642[[#This Row],[ ]]="","",IF(Tabulka1710136303642[[#This Row],[ ]]="NEÚČAST","",IF(OR(Tabulka1710136303642[Výsledný čas]="N",Tabulka1710136303642[Výsledný čas]="D"),$X$4-$X$5,_xlfn.RANK.EQ(Tabulka1710136303642[[#This Row],[ ]],Tabulka1710136303642[[ ]],1))))</f>
        <v>15</v>
      </c>
      <c r="P17" s="26" t="s">
        <v>72</v>
      </c>
      <c r="Q17" s="5" t="s">
        <v>9</v>
      </c>
      <c r="R17" s="5" t="s">
        <v>9</v>
      </c>
      <c r="S17" s="29" t="str">
        <f>IF(OR(Tabulka1710136303642[[#This Row],[LP]]="N",Tabulka1710136303642[[#This Row],[PP]]="N"),"N",IF(OR(Tabulka1710136303642[[#This Row],[LP]]="D",Tabulka1710136303642[[#This Row],[PP]]="D"),"D",IF(OR(Tabulka1710136303642[[#This Row],[LP]]="NEÚČAST",Tabulka1710136303642[[#This Row],[PP]]="NEÚČAST"),"NEÚČAST",IF(OR(Tabulka1710136303642[[#This Row],[LP]]="",Tabulka1710136303642[[#This Row],[PP]]=""),"",MAX(Tabulka1710136303642[[#This Row],[LP]:[PP]])))))</f>
        <v>N</v>
      </c>
      <c r="T17" s="240">
        <f>COUNTIF(Tabulka1710136303642[[#This Row],[Tým]],"*")</f>
        <v>1</v>
      </c>
      <c r="U17" s="46">
        <f>COUNTIF(Tabulka1710136303642[[#This Row],[Výsledný čas]],"NEÚČAST")</f>
        <v>0</v>
      </c>
      <c r="V17" s="29">
        <f>IF(Tabulka1710136303642[[#This Row],[Výsledný čas]]="N",998,IF(Tabulka1710136303642[[#This Row],[Výsledný čas]]="D",998,IF(Tabulka1710136303642[[#This Row],[Výsledný čas]]="","",Tabulka1710136303642[[#This Row],[Výsledný čas]])))</f>
        <v>998</v>
      </c>
      <c r="Z17" s="31">
        <f>IF(OR(Tabulka381114263238[Výsledný čas]="N",Tabulka381114263238[Výsledný čas]="D",Tabulka381114263238[Výsledný čas]="NEÚČAST"),Uvod!$E$4,_xlfn.RANK.EQ(Tabulka381114263238[[#This Row],[ ]],Tabulka381114263238[[ ]],1))</f>
        <v>14</v>
      </c>
      <c r="AA17" s="97" t="s">
        <v>17</v>
      </c>
      <c r="AB17" s="44">
        <f>VLOOKUP(Tabulka381114263238[[#This Row],[Tým]],Tabulka171013253137[[Tým]:[ ]],2,FALSE)</f>
        <v>36.860999999999997</v>
      </c>
      <c r="AC17" s="44">
        <f>VLOOKUP(Tabulka381114263238[[#This Row],[Tým]],Tabulka171013253137[[Tým]:[ ]],3,FALSE)</f>
        <v>35.93</v>
      </c>
      <c r="AD17" s="25">
        <f>VLOOKUP(Tabulka381114263238[[#This Row],[Tým]],Tabulka171013253137[[Tým]:[ ]],4,FALSE)</f>
        <v>36.860999999999997</v>
      </c>
      <c r="AE17" s="25">
        <f>VLOOKUP(Tabulka381114263238[[#This Row],[Tým]],Tabulka171013253137[[Tým]:[ ]],7,FALSE)</f>
        <v>36.860999999999997</v>
      </c>
      <c r="AF17" s="29">
        <f>IF(Tabulka381114263238[[#This Row],[Výsledný čas]]="N",5,IF(Tabulka381114263238[[#This Row],[Výsledný čas]]="D",0,IF(Tabulka381114263238[[#This Row],[Výsledný čas]]="NEÚČAST",0,Tabulka4[[#Totals],[Týmy muži]]+6-Tabulka381114263238[[#This Row],[Umístění]])))</f>
        <v>11</v>
      </c>
      <c r="AH17" s="31">
        <f>_xlfn.RANK.EQ(Tabulka591215273339[[#This Row],[Body]],Tabulka591215273339[Body],0)</f>
        <v>14</v>
      </c>
      <c r="AI17" s="51" t="s">
        <v>32</v>
      </c>
      <c r="AJ17" s="29">
        <f>VLOOKUP(Tabulka591215273339[[#This Row],[Tým]],Tabulka381114263238[[Tým]:[Body]],6,FALSE)+Tabulka591215273339[[#This Row],[ ]]</f>
        <v>57</v>
      </c>
      <c r="AK17" s="82">
        <f>VLOOKUP(Tabulka591215273339[[#This Row],[Tým]],Tabulka5912152733[[Tým]:[Body]],2,FALSE)</f>
        <v>52</v>
      </c>
      <c r="AL17" s="47">
        <f>Tabulka591215273339[[#This Row],[Umístění]]</f>
        <v>14</v>
      </c>
      <c r="AM17" s="15"/>
      <c r="AP17" s="1"/>
    </row>
    <row r="18" spans="2:42" ht="24.95" customHeight="1" thickBot="1" x14ac:dyDescent="0.45">
      <c r="B18" s="11" t="s">
        <v>58</v>
      </c>
      <c r="C18" s="1">
        <f>IF(Tabulka171013253137[[#This Row],[ ]]="","",IF(Tabulka171013253137[[#This Row],[ ]]="NEÚČAST","",IF(OR(Tabulka171013253137[Výsledný čas]="N",Tabulka171013253137[Výsledný čas]="D"),$L$4-$L$5,_xlfn.RANK.EQ(Tabulka171013253137[[#This Row],[ ]],Tabulka171013253137[[ ]],1))))</f>
        <v>15</v>
      </c>
      <c r="D18" s="12" t="s">
        <v>25</v>
      </c>
      <c r="E18" s="8">
        <v>21.622</v>
      </c>
      <c r="F18" s="8">
        <v>22.818999999999999</v>
      </c>
      <c r="G18" s="9">
        <f>IF(OR(Tabulka171013253137[[#This Row],[LP]]="N",Tabulka171013253137[[#This Row],[PP]]="N"),"N",IF(OR(Tabulka171013253137[[#This Row],[LP]]="D",Tabulka171013253137[[#This Row],[PP]]="D"),"D",IF(OR(Tabulka171013253137[[#This Row],[LP]]="NEÚČAST",Tabulka171013253137[[#This Row],[PP]]="NEÚČAST"),"NEÚČAST",IF(OR(Tabulka171013253137[[#This Row],[LP]]="",Tabulka171013253137[[#This Row],[PP]]=""),"",MAX(Tabulka171013253137[[#This Row],[LP]:[PP]])))))</f>
        <v>22.818999999999999</v>
      </c>
      <c r="H18" s="1">
        <f>COUNTIF(Tabulka171013253137[[#This Row],[Tým]],"*")</f>
        <v>1</v>
      </c>
      <c r="I18" s="1">
        <f>COUNTIF(Tabulka171013253137[[#This Row],[Výsledný čas]],"NEÚČAST")</f>
        <v>0</v>
      </c>
      <c r="J18" s="1">
        <f>IF(Tabulka171013253137[[#This Row],[Výsledný čas]]="N",998,IF(Tabulka171013253137[[#This Row],[Výsledný čas]]="D",998,IF(Tabulka171013253137[[#This Row],[Výsledný čas]]="","",Tabulka171013253137[[#This Row],[Výsledný čas]])))</f>
        <v>22.818999999999999</v>
      </c>
      <c r="N18" s="33" t="s">
        <v>99</v>
      </c>
      <c r="O18" s="34">
        <f>IF(Tabulka1710136303642[[#This Row],[ ]]="","",IF(Tabulka1710136303642[[#This Row],[ ]]="NEÚČAST","",IF(OR(Tabulka1710136303642[Výsledný čas]="N",Tabulka1710136303642[Výsledný čas]="D"),$X$4-$X$5,_xlfn.RANK.EQ(Tabulka1710136303642[[#This Row],[ ]],Tabulka1710136303642[[ ]],1))))</f>
        <v>2</v>
      </c>
      <c r="P18" s="101" t="s">
        <v>126</v>
      </c>
      <c r="Q18" s="91">
        <v>17.146999999999998</v>
      </c>
      <c r="R18" s="91">
        <v>17.321000000000002</v>
      </c>
      <c r="S18" s="36">
        <f>IF(OR(Tabulka1710136303642[[#This Row],[LP]]="N",Tabulka1710136303642[[#This Row],[PP]]="N"),"N",IF(OR(Tabulka1710136303642[[#This Row],[LP]]="D",Tabulka1710136303642[[#This Row],[PP]]="D"),"D",IF(OR(Tabulka1710136303642[[#This Row],[LP]]="NEÚČAST",Tabulka1710136303642[[#This Row],[PP]]="NEÚČAST"),"NEÚČAST",IF(OR(Tabulka1710136303642[[#This Row],[LP]]="",Tabulka1710136303642[[#This Row],[PP]]=""),"",MAX(Tabulka1710136303642[[#This Row],[LP]:[PP]])))))</f>
        <v>17.321000000000002</v>
      </c>
      <c r="T18" s="241">
        <f>COUNTIF(Tabulka1710136303642[[#This Row],[Tým]],"*")</f>
        <v>1</v>
      </c>
      <c r="U18" s="179">
        <f>COUNTIF(Tabulka1710136303642[[#This Row],[Výsledný čas]],"NEÚČAST")</f>
        <v>0</v>
      </c>
      <c r="V18" s="36">
        <f>IF(Tabulka1710136303642[[#This Row],[Výsledný čas]]="N",998,IF(Tabulka1710136303642[[#This Row],[Výsledný čas]]="D",998,IF(Tabulka1710136303642[[#This Row],[Výsledný čas]]="","",Tabulka1710136303642[[#This Row],[Výsledný čas]])))</f>
        <v>17.321000000000002</v>
      </c>
      <c r="Z18" s="31">
        <f>IF(OR(Tabulka381114263238[Výsledný čas]="N",Tabulka381114263238[Výsledný čas]="D",Tabulka381114263238[Výsledný čas]="NEÚČAST"),Uvod!$E$4,_xlfn.RANK.EQ(Tabulka381114263238[[#This Row],[ ]],Tabulka381114263238[[ ]],1))</f>
        <v>19</v>
      </c>
      <c r="AA18" s="51" t="s">
        <v>22</v>
      </c>
      <c r="AB18" s="44" t="str">
        <f>VLOOKUP(Tabulka381114263238[[#This Row],[Tým]],Tabulka171013253137[[Tým]:[ ]],2,FALSE)</f>
        <v>N</v>
      </c>
      <c r="AC18" s="44" t="str">
        <f>VLOOKUP(Tabulka381114263238[[#This Row],[Tým]],Tabulka171013253137[[Tým]:[ ]],3,FALSE)</f>
        <v>N</v>
      </c>
      <c r="AD18" s="25" t="str">
        <f>VLOOKUP(Tabulka381114263238[[#This Row],[Tým]],Tabulka171013253137[[Tým]:[ ]],4,FALSE)</f>
        <v>N</v>
      </c>
      <c r="AE18" s="25">
        <f>VLOOKUP(Tabulka381114263238[[#This Row],[Tým]],Tabulka171013253137[[Tým]:[ ]],7,FALSE)</f>
        <v>998</v>
      </c>
      <c r="AF18" s="29">
        <f>IF(Tabulka381114263238[[#This Row],[Výsledný čas]]="N",5,IF(Tabulka381114263238[[#This Row],[Výsledný čas]]="D",0,IF(Tabulka381114263238[[#This Row],[Výsledný čas]]="NEÚČAST",0,Tabulka4[[#Totals],[Týmy muži]]+6-Tabulka381114263238[[#This Row],[Umístění]])))</f>
        <v>5</v>
      </c>
      <c r="AH18" s="31">
        <f>_xlfn.RANK.EQ(Tabulka591215273339[[#This Row],[Body]],Tabulka591215273339[Body],0)</f>
        <v>15</v>
      </c>
      <c r="AI18" s="51" t="s">
        <v>24</v>
      </c>
      <c r="AJ18" s="29">
        <f>VLOOKUP(Tabulka591215273339[[#This Row],[Tým]],Tabulka381114263238[[Tým]:[Body]],6,FALSE)+Tabulka591215273339[[#This Row],[ ]]</f>
        <v>55</v>
      </c>
      <c r="AK18" s="82">
        <f>VLOOKUP(Tabulka591215273339[[#This Row],[Tým]],Tabulka5912152733[[Tým]:[Body]],2,FALSE)</f>
        <v>41</v>
      </c>
      <c r="AL18" s="47">
        <f>Tabulka591215273339[[#This Row],[Umístění]]</f>
        <v>15</v>
      </c>
      <c r="AM18" s="15"/>
      <c r="AP18" s="1"/>
    </row>
    <row r="19" spans="2:42" ht="24.95" customHeight="1" x14ac:dyDescent="0.4">
      <c r="B19" s="6" t="s">
        <v>68</v>
      </c>
      <c r="C19" s="1">
        <f>IF(Tabulka171013253137[[#This Row],[ ]]="","",IF(Tabulka171013253137[[#This Row],[ ]]="NEÚČAST","",IF(OR(Tabulka171013253137[Výsledný čas]="N",Tabulka171013253137[Výsledný čas]="D"),$L$4-$L$5,_xlfn.RANK.EQ(Tabulka171013253137[[#This Row],[ ]],Tabulka171013253137[[ ]],1))))</f>
        <v>16</v>
      </c>
      <c r="D19" s="7" t="s">
        <v>20</v>
      </c>
      <c r="E19" s="8">
        <v>26.329000000000001</v>
      </c>
      <c r="F19" s="8">
        <v>27.277999999999999</v>
      </c>
      <c r="G19" s="9">
        <f>IF(OR(Tabulka171013253137[[#This Row],[LP]]="N",Tabulka171013253137[[#This Row],[PP]]="N"),"N",IF(OR(Tabulka171013253137[[#This Row],[LP]]="D",Tabulka171013253137[[#This Row],[PP]]="D"),"D",IF(OR(Tabulka171013253137[[#This Row],[LP]]="NEÚČAST",Tabulka171013253137[[#This Row],[PP]]="NEÚČAST"),"NEÚČAST",IF(OR(Tabulka171013253137[[#This Row],[LP]]="",Tabulka171013253137[[#This Row],[PP]]=""),"",MAX(Tabulka171013253137[[#This Row],[LP]:[PP]])))))</f>
        <v>27.277999999999999</v>
      </c>
      <c r="H19" s="1">
        <f>COUNTIF(Tabulka171013253137[[#This Row],[Tým]],"*")</f>
        <v>1</v>
      </c>
      <c r="I19" s="1">
        <f>COUNTIF(Tabulka171013253137[[#This Row],[Výsledný čas]],"NEÚČAST")</f>
        <v>0</v>
      </c>
      <c r="J19" s="1">
        <f>IF(Tabulka171013253137[[#This Row],[Výsledný čas]]="N",998,IF(Tabulka171013253137[[#This Row],[Výsledný čas]]="D",998,IF(Tabulka171013253137[[#This Row],[Výsledný čas]]="","",Tabulka171013253137[[#This Row],[Výsledný čas]])))</f>
        <v>27.277999999999999</v>
      </c>
      <c r="P19" s="7"/>
      <c r="Q19" s="8"/>
      <c r="R19" s="8"/>
      <c r="Z19" s="31">
        <f>IF(OR(Tabulka381114263238[Výsledný čas]="N",Tabulka381114263238[Výsledný čas]="D",Tabulka381114263238[Výsledný čas]="NEÚČAST"),Uvod!$E$4,_xlfn.RANK.EQ(Tabulka381114263238[[#This Row],[ ]],Tabulka381114263238[[ ]],1))</f>
        <v>19</v>
      </c>
      <c r="AA19" s="51" t="s">
        <v>31</v>
      </c>
      <c r="AB19" s="44" t="str">
        <f>VLOOKUP(Tabulka381114263238[[#This Row],[Tým]],Tabulka171013253137[[Tým]:[ ]],2,FALSE)</f>
        <v>N</v>
      </c>
      <c r="AC19" s="44">
        <f>VLOOKUP(Tabulka381114263238[[#This Row],[Tým]],Tabulka171013253137[[Tým]:[ ]],3,FALSE)</f>
        <v>16.190000000000001</v>
      </c>
      <c r="AD19" s="25" t="str">
        <f>VLOOKUP(Tabulka381114263238[[#This Row],[Tým]],Tabulka171013253137[[Tým]:[ ]],4,FALSE)</f>
        <v>N</v>
      </c>
      <c r="AE19" s="25">
        <f>VLOOKUP(Tabulka381114263238[[#This Row],[Tým]],Tabulka171013253137[[Tým]:[ ]],7,FALSE)</f>
        <v>998</v>
      </c>
      <c r="AF19" s="29">
        <f>IF(Tabulka381114263238[[#This Row],[Výsledný čas]]="N",5,IF(Tabulka381114263238[[#This Row],[Výsledný čas]]="D",0,IF(Tabulka381114263238[[#This Row],[Výsledný čas]]="NEÚČAST",0,Tabulka4[[#Totals],[Týmy muži]]+6-Tabulka381114263238[[#This Row],[Umístění]])))</f>
        <v>5</v>
      </c>
      <c r="AH19" s="31">
        <f>_xlfn.RANK.EQ(Tabulka591215273339[[#This Row],[Body]],Tabulka591215273339[Body],0)</f>
        <v>16</v>
      </c>
      <c r="AI19" s="51" t="s">
        <v>6</v>
      </c>
      <c r="AJ19" s="29">
        <f>VLOOKUP(Tabulka591215273339[[#This Row],[Tým]],Tabulka381114263238[[Tým]:[Body]],6,FALSE)+Tabulka591215273339[[#This Row],[ ]]</f>
        <v>54</v>
      </c>
      <c r="AK19" s="82">
        <f>VLOOKUP(Tabulka591215273339[[#This Row],[Tým]],Tabulka5912152733[[Tým]:[Body]],2,FALSE)</f>
        <v>54</v>
      </c>
      <c r="AL19" s="47">
        <f>Tabulka591215273339[[#This Row],[Umístění]]</f>
        <v>16</v>
      </c>
      <c r="AM19" s="15"/>
      <c r="AP19" s="1"/>
    </row>
    <row r="20" spans="2:42" ht="24.95" customHeight="1" thickBot="1" x14ac:dyDescent="0.45">
      <c r="B20" s="11" t="s">
        <v>104</v>
      </c>
      <c r="C20" s="1">
        <f>IF(Tabulka171013253137[[#This Row],[ ]]="","",IF(Tabulka171013253137[[#This Row],[ ]]="NEÚČAST","",IF(OR(Tabulka171013253137[Výsledný čas]="N",Tabulka171013253137[Výsledný čas]="D"),$L$4-$L$5,_xlfn.RANK.EQ(Tabulka171013253137[[#This Row],[ ]],Tabulka171013253137[[ ]],1))))</f>
        <v>17</v>
      </c>
      <c r="D20" s="7" t="s">
        <v>125</v>
      </c>
      <c r="E20" s="8">
        <v>30.504999999999999</v>
      </c>
      <c r="F20" s="8">
        <v>31.216000000000001</v>
      </c>
      <c r="G20" s="9">
        <f>IF(OR(Tabulka171013253137[[#This Row],[LP]]="N",Tabulka171013253137[[#This Row],[PP]]="N"),"N",IF(OR(Tabulka171013253137[[#This Row],[LP]]="D",Tabulka171013253137[[#This Row],[PP]]="D"),"D",IF(OR(Tabulka171013253137[[#This Row],[LP]]="NEÚČAST",Tabulka171013253137[[#This Row],[PP]]="NEÚČAST"),"NEÚČAST",IF(OR(Tabulka171013253137[[#This Row],[LP]]="",Tabulka171013253137[[#This Row],[PP]]=""),"",MAX(Tabulka171013253137[[#This Row],[LP]:[PP]])))))</f>
        <v>31.216000000000001</v>
      </c>
      <c r="H20" s="1">
        <f>COUNTIF(Tabulka171013253137[[#This Row],[Tým]],"*")</f>
        <v>1</v>
      </c>
      <c r="I20" s="1">
        <f>COUNTIF(Tabulka171013253137[[#This Row],[Výsledný čas]],"NEÚČAST")</f>
        <v>0</v>
      </c>
      <c r="J20" s="1">
        <f>IF(Tabulka171013253137[[#This Row],[Výsledný čas]]="N",998,IF(Tabulka171013253137[[#This Row],[Výsledný čas]]="D",998,IF(Tabulka171013253137[[#This Row],[Výsledný čas]]="","",Tabulka171013253137[[#This Row],[Výsledný čas]])))</f>
        <v>31.216000000000001</v>
      </c>
      <c r="N20" s="68"/>
      <c r="P20" s="7"/>
      <c r="Q20" s="8"/>
      <c r="R20" s="8"/>
      <c r="Z20" s="31">
        <f>IF(OR(Tabulka381114263238[Výsledný čas]="N",Tabulka381114263238[Výsledný čas]="D",Tabulka381114263238[Výsledný čas]="NEÚČAST"),Uvod!$E$4,_xlfn.RANK.EQ(Tabulka381114263238[[#This Row],[ ]],Tabulka381114263238[[ ]],1))</f>
        <v>19</v>
      </c>
      <c r="AA20" s="51" t="s">
        <v>32</v>
      </c>
      <c r="AB20" s="44" t="str">
        <f>VLOOKUP(Tabulka381114263238[[#This Row],[Tým]],Tabulka171013253137[[Tým]:[ ]],2,FALSE)</f>
        <v>N</v>
      </c>
      <c r="AC20" s="44" t="str">
        <f>VLOOKUP(Tabulka381114263238[[#This Row],[Tým]],Tabulka171013253137[[Tým]:[ ]],3,FALSE)</f>
        <v>N</v>
      </c>
      <c r="AD20" s="25" t="str">
        <f>VLOOKUP(Tabulka381114263238[[#This Row],[Tým]],Tabulka171013253137[[Tým]:[ ]],4,FALSE)</f>
        <v>N</v>
      </c>
      <c r="AE20" s="25">
        <f>VLOOKUP(Tabulka381114263238[[#This Row],[Tým]],Tabulka171013253137[[Tým]:[ ]],7,FALSE)</f>
        <v>998</v>
      </c>
      <c r="AF20" s="29">
        <f>IF(Tabulka381114263238[[#This Row],[Výsledný čas]]="N",5,IF(Tabulka381114263238[[#This Row],[Výsledný čas]]="D",0,IF(Tabulka381114263238[[#This Row],[Výsledný čas]]="NEÚČAST",0,Tabulka4[[#Totals],[Týmy muži]]+6-Tabulka381114263238[[#This Row],[Umístění]])))</f>
        <v>5</v>
      </c>
      <c r="AH20" s="31">
        <f>_xlfn.RANK.EQ(Tabulka591215273339[[#This Row],[Body]],Tabulka591215273339[Body],0)</f>
        <v>17</v>
      </c>
      <c r="AI20" s="97" t="s">
        <v>33</v>
      </c>
      <c r="AJ20" s="29">
        <f>VLOOKUP(Tabulka591215273339[[#This Row],[Tým]],Tabulka381114263238[[Tým]:[Body]],6,FALSE)+Tabulka591215273339[[#This Row],[ ]]</f>
        <v>48</v>
      </c>
      <c r="AK20" s="83">
        <f>VLOOKUP(Tabulka591215273339[[#This Row],[Tým]],Tabulka5912152733[[Tým]:[Body]],2,FALSE)</f>
        <v>43</v>
      </c>
      <c r="AL20" s="93">
        <f>Tabulka591215273339[[#This Row],[Umístění]]</f>
        <v>17</v>
      </c>
      <c r="AM20" s="15"/>
      <c r="AP20" s="1"/>
    </row>
    <row r="21" spans="2:42" ht="24.95" customHeight="1" x14ac:dyDescent="0.4">
      <c r="B21" s="6" t="s">
        <v>107</v>
      </c>
      <c r="C21" s="1">
        <f>IF(Tabulka171013253137[[#This Row],[ ]]="","",IF(Tabulka171013253137[[#This Row],[ ]]="NEÚČAST","",IF(OR(Tabulka171013253137[Výsledný čas]="N",Tabulka171013253137[Výsledný čas]="D"),$L$4-$L$5,_xlfn.RANK.EQ(Tabulka171013253137[[#This Row],[ ]],Tabulka171013253137[[ ]],1))))</f>
        <v>18</v>
      </c>
      <c r="D21" s="7" t="s">
        <v>17</v>
      </c>
      <c r="E21" s="13">
        <v>36.860999999999997</v>
      </c>
      <c r="F21" s="8">
        <v>35.93</v>
      </c>
      <c r="G21" s="9">
        <f>IF(OR(Tabulka171013253137[[#This Row],[LP]]="N",Tabulka171013253137[[#This Row],[PP]]="N"),"N",IF(OR(Tabulka171013253137[[#This Row],[LP]]="D",Tabulka171013253137[[#This Row],[PP]]="D"),"D",IF(OR(Tabulka171013253137[[#This Row],[LP]]="NEÚČAST",Tabulka171013253137[[#This Row],[PP]]="NEÚČAST"),"NEÚČAST",IF(OR(Tabulka171013253137[[#This Row],[LP]]="",Tabulka171013253137[[#This Row],[PP]]=""),"",MAX(Tabulka171013253137[[#This Row],[LP]:[PP]])))))</f>
        <v>36.860999999999997</v>
      </c>
      <c r="H21" s="1">
        <f>COUNTIF(Tabulka171013253137[[#This Row],[Tým]],"*")</f>
        <v>1</v>
      </c>
      <c r="I21" s="1">
        <f>COUNTIF(Tabulka171013253137[[#This Row],[Výsledný čas]],"NEÚČAST")</f>
        <v>0</v>
      </c>
      <c r="J21" s="1">
        <f>IF(Tabulka171013253137[[#This Row],[Výsledný čas]]="N",998,IF(Tabulka171013253137[[#This Row],[Výsledný čas]]="D",998,IF(Tabulka171013253137[[#This Row],[Výsledný čas]]="","",Tabulka171013253137[[#This Row],[Výsledný čas]])))</f>
        <v>36.860999999999997</v>
      </c>
      <c r="N21" s="68"/>
      <c r="P21" s="7"/>
      <c r="Q21" s="8"/>
      <c r="R21" s="8"/>
      <c r="Z21" s="31">
        <f>IF(OR(Tabulka381114263238[Výsledný čas]="N",Tabulka381114263238[Výsledný čas]="D",Tabulka381114263238[Výsledný čas]="NEÚČAST"),Uvod!$E$4,_xlfn.RANK.EQ(Tabulka381114263238[[#This Row],[ ]],Tabulka381114263238[[ ]],1))</f>
        <v>19</v>
      </c>
      <c r="AA21" s="97" t="s">
        <v>33</v>
      </c>
      <c r="AB21" s="44">
        <f>VLOOKUP(Tabulka381114263238[[#This Row],[Tým]],Tabulka171013253137[[Tým]:[ ]],2,FALSE)</f>
        <v>18.488</v>
      </c>
      <c r="AC21" s="44" t="str">
        <f>VLOOKUP(Tabulka381114263238[[#This Row],[Tým]],Tabulka171013253137[[Tým]:[ ]],3,FALSE)</f>
        <v>N</v>
      </c>
      <c r="AD21" s="25" t="str">
        <f>VLOOKUP(Tabulka381114263238[[#This Row],[Tým]],Tabulka171013253137[[Tým]:[ ]],4,FALSE)</f>
        <v>N</v>
      </c>
      <c r="AE21" s="25">
        <f>VLOOKUP(Tabulka381114263238[[#This Row],[Tým]],Tabulka171013253137[[Tým]:[ ]],7,FALSE)</f>
        <v>998</v>
      </c>
      <c r="AF21" s="29">
        <f>IF(Tabulka381114263238[[#This Row],[Výsledný čas]]="N",5,IF(Tabulka381114263238[[#This Row],[Výsledný čas]]="D",0,IF(Tabulka381114263238[[#This Row],[Výsledný čas]]="NEÚČAST",0,Tabulka4[[#Totals],[Týmy muži]]+6-Tabulka381114263238[[#This Row],[Umístění]])))</f>
        <v>5</v>
      </c>
      <c r="AH21" s="31">
        <f>_xlfn.RANK.EQ(Tabulka591215273339[[#This Row],[Body]],Tabulka591215273339[Body],0)</f>
        <v>18</v>
      </c>
      <c r="AI21" s="51" t="s">
        <v>31</v>
      </c>
      <c r="AJ21" s="29">
        <f>VLOOKUP(Tabulka591215273339[[#This Row],[Tým]],Tabulka381114263238[[Tým]:[Body]],6,FALSE)+Tabulka591215273339[[#This Row],[ ]]</f>
        <v>42</v>
      </c>
      <c r="AK21" s="82">
        <f>VLOOKUP(Tabulka591215273339[[#This Row],[Tým]],Tabulka5912152733[[Tým]:[Body]],2,FALSE)</f>
        <v>37</v>
      </c>
      <c r="AL21" s="47">
        <f>Tabulka591215273339[[#This Row],[Umístění]]</f>
        <v>18</v>
      </c>
    </row>
    <row r="22" spans="2:42" ht="24.95" customHeight="1" thickBot="1" x14ac:dyDescent="0.45">
      <c r="B22" s="6" t="s">
        <v>60</v>
      </c>
      <c r="C22" s="1">
        <f>IF(Tabulka171013253137[[#This Row],[ ]]="","",IF(Tabulka171013253137[[#This Row],[ ]]="NEÚČAST","",IF(OR(Tabulka171013253137[Výsledný čas]="N",Tabulka171013253137[Výsledný čas]="D"),$L$4-$L$5,_xlfn.RANK.EQ(Tabulka171013253137[[#This Row],[ ]],Tabulka171013253137[[ ]],1))))</f>
        <v>22</v>
      </c>
      <c r="D22" s="7" t="s">
        <v>22</v>
      </c>
      <c r="E22" s="8" t="s">
        <v>9</v>
      </c>
      <c r="F22" s="8" t="s">
        <v>9</v>
      </c>
      <c r="G22" s="9" t="str">
        <f>IF(OR(Tabulka171013253137[[#This Row],[LP]]="N",Tabulka171013253137[[#This Row],[PP]]="N"),"N",IF(OR(Tabulka171013253137[[#This Row],[LP]]="D",Tabulka171013253137[[#This Row],[PP]]="D"),"D",IF(OR(Tabulka171013253137[[#This Row],[LP]]="NEÚČAST",Tabulka171013253137[[#This Row],[PP]]="NEÚČAST"),"NEÚČAST",IF(OR(Tabulka171013253137[[#This Row],[LP]]="",Tabulka171013253137[[#This Row],[PP]]=""),"",MAX(Tabulka171013253137[[#This Row],[LP]:[PP]])))))</f>
        <v>N</v>
      </c>
      <c r="H22" s="1">
        <f>COUNTIF(Tabulka171013253137[[#This Row],[Tým]],"*")</f>
        <v>1</v>
      </c>
      <c r="I22" s="1">
        <f>COUNTIF(Tabulka171013253137[[#This Row],[Výsledný čas]],"NEÚČAST")</f>
        <v>0</v>
      </c>
      <c r="J22" s="1">
        <f>IF(Tabulka171013253137[[#This Row],[Výsledný čas]]="N",998,IF(Tabulka171013253137[[#This Row],[Výsledný čas]]="D",998,IF(Tabulka171013253137[[#This Row],[Výsledný čas]]="","",Tabulka171013253137[[#This Row],[Výsledný čas]])))</f>
        <v>998</v>
      </c>
      <c r="N22" s="70"/>
      <c r="P22" s="7"/>
      <c r="Q22" s="8"/>
      <c r="R22" s="8"/>
      <c r="Z22" s="33">
        <f>IF(OR(Tabulka381114263238[Výsledný čas]="N",Tabulka381114263238[Výsledný čas]="D",Tabulka381114263238[Výsledný čas]="NEÚČAST"),Uvod!$E$4,_xlfn.RANK.EQ(Tabulka381114263238[[#This Row],[ ]],Tabulka381114263238[[ ]],1))</f>
        <v>19</v>
      </c>
      <c r="AA22" s="62" t="s">
        <v>6</v>
      </c>
      <c r="AB22" s="45" t="str">
        <f>VLOOKUP(Tabulka381114263238[[#This Row],[Tým]],Tabulka171013253137[[Tým]:[ ]],2,FALSE)</f>
        <v>NEÚČAST</v>
      </c>
      <c r="AC22" s="45" t="str">
        <f>VLOOKUP(Tabulka381114263238[[#This Row],[Tým]],Tabulka171013253137[[Tým]:[ ]],3,FALSE)</f>
        <v>NEÚČAST</v>
      </c>
      <c r="AD22" s="34" t="str">
        <f>VLOOKUP(Tabulka381114263238[[#This Row],[Tým]],Tabulka171013253137[[Tým]:[ ]],4,FALSE)</f>
        <v>NEÚČAST</v>
      </c>
      <c r="AE22" s="34" t="str">
        <f>VLOOKUP(Tabulka381114263238[[#This Row],[Tým]],Tabulka171013253137[[Tým]:[ ]],7,FALSE)</f>
        <v>NEÚČAST</v>
      </c>
      <c r="AF22" s="36">
        <f>IF(Tabulka381114263238[[#This Row],[Výsledný čas]]="N",5,IF(Tabulka381114263238[[#This Row],[Výsledný čas]]="D",0,IF(Tabulka381114263238[[#This Row],[Výsledný čas]]="NEÚČAST",0,Tabulka4[[#Totals],[Týmy muži]]+6-Tabulka381114263238[[#This Row],[Umístění]])))</f>
        <v>0</v>
      </c>
      <c r="AH22" s="33">
        <f>_xlfn.RANK.EQ(Tabulka591215273339[[#This Row],[Body]],Tabulka591215273339[Body],0)</f>
        <v>19</v>
      </c>
      <c r="AI22" s="98" t="s">
        <v>17</v>
      </c>
      <c r="AJ22" s="36">
        <f>VLOOKUP(Tabulka591215273339[[#This Row],[Tým]],Tabulka381114263238[[Tým]:[Body]],6,FALSE)+Tabulka591215273339[[#This Row],[ ]]</f>
        <v>30</v>
      </c>
      <c r="AK22" s="82">
        <f>VLOOKUP(Tabulka591215273339[[#This Row],[Tým]],Tabulka5912152733[[Tým]:[Body]],2,FALSE)</f>
        <v>19</v>
      </c>
      <c r="AL22" s="47">
        <f>Tabulka591215273339[[#This Row],[Umístění]]</f>
        <v>19</v>
      </c>
    </row>
    <row r="23" spans="2:42" ht="24.95" customHeight="1" x14ac:dyDescent="0.4">
      <c r="B23" s="6" t="s">
        <v>101</v>
      </c>
      <c r="C23" s="1">
        <f>IF(Tabulka171013253137[[#This Row],[ ]]="","",IF(Tabulka171013253137[[#This Row],[ ]]="NEÚČAST","",IF(OR(Tabulka171013253137[Výsledný čas]="N",Tabulka171013253137[Výsledný čas]="D"),$L$4-$L$5,_xlfn.RANK.EQ(Tabulka171013253137[[#This Row],[ ]],Tabulka171013253137[[ ]],1))))</f>
        <v>22</v>
      </c>
      <c r="D23" s="14" t="s">
        <v>31</v>
      </c>
      <c r="E23" s="8" t="s">
        <v>9</v>
      </c>
      <c r="F23" s="8">
        <v>16.190000000000001</v>
      </c>
      <c r="G23" s="9" t="str">
        <f>IF(OR(Tabulka171013253137[[#This Row],[LP]]="N",Tabulka171013253137[[#This Row],[PP]]="N"),"N",IF(OR(Tabulka171013253137[[#This Row],[LP]]="D",Tabulka171013253137[[#This Row],[PP]]="D"),"D",IF(OR(Tabulka171013253137[[#This Row],[LP]]="NEÚČAST",Tabulka171013253137[[#This Row],[PP]]="NEÚČAST"),"NEÚČAST",IF(OR(Tabulka171013253137[[#This Row],[LP]]="",Tabulka171013253137[[#This Row],[PP]]=""),"",MAX(Tabulka171013253137[[#This Row],[LP]:[PP]])))))</f>
        <v>N</v>
      </c>
      <c r="H23" s="1">
        <f>COUNTIF(Tabulka171013253137[[#This Row],[Tým]],"*")</f>
        <v>1</v>
      </c>
      <c r="I23" s="1">
        <f>COUNTIF(Tabulka171013253137[[#This Row],[Výsledný čas]],"NEÚČAST")</f>
        <v>0</v>
      </c>
      <c r="J23" s="1">
        <f>IF(Tabulka171013253137[[#This Row],[Výsledný čas]]="N",998,IF(Tabulka171013253137[[#This Row],[Výsledný čas]]="D",998,IF(Tabulka171013253137[[#This Row],[Výsledný čas]]="","",Tabulka171013253137[[#This Row],[Výsledný čas]])))</f>
        <v>998</v>
      </c>
      <c r="P23" s="7"/>
      <c r="Q23" s="8"/>
      <c r="R23" s="8"/>
      <c r="AB23" s="3"/>
      <c r="AC23" s="3"/>
      <c r="AL23" s="15"/>
    </row>
    <row r="24" spans="2:42" ht="24.95" customHeight="1" thickBot="1" x14ac:dyDescent="0.45">
      <c r="B24" s="6">
        <v>29</v>
      </c>
      <c r="C24" s="1">
        <f>IF(Tabulka171013253137[[#This Row],[ ]]="","",IF(Tabulka171013253137[[#This Row],[ ]]="NEÚČAST","",IF(OR(Tabulka171013253137[Výsledný čas]="N",Tabulka171013253137[Výsledný čas]="D"),$L$4-$L$5,_xlfn.RANK.EQ(Tabulka171013253137[[#This Row],[ ]],Tabulka171013253137[[ ]],1))))</f>
        <v>22</v>
      </c>
      <c r="D24" s="14" t="s">
        <v>32</v>
      </c>
      <c r="E24" s="8" t="s">
        <v>9</v>
      </c>
      <c r="F24" s="8" t="s">
        <v>9</v>
      </c>
      <c r="G24" s="9" t="str">
        <f>IF(OR(Tabulka171013253137[[#This Row],[LP]]="N",Tabulka171013253137[[#This Row],[PP]]="N"),"N",IF(OR(Tabulka171013253137[[#This Row],[LP]]="D",Tabulka171013253137[[#This Row],[PP]]="D"),"D",IF(OR(Tabulka171013253137[[#This Row],[LP]]="NEÚČAST",Tabulka171013253137[[#This Row],[PP]]="NEÚČAST"),"NEÚČAST",IF(OR(Tabulka171013253137[[#This Row],[LP]]="",Tabulka171013253137[[#This Row],[PP]]=""),"",MAX(Tabulka171013253137[[#This Row],[LP]:[PP]])))))</f>
        <v>N</v>
      </c>
      <c r="H24" s="1">
        <f>COUNTIF(Tabulka171013253137[[#This Row],[Tým]],"*")</f>
        <v>1</v>
      </c>
      <c r="I24" s="1">
        <f>COUNTIF(Tabulka171013253137[[#This Row],[Výsledný čas]],"NEÚČAST")</f>
        <v>0</v>
      </c>
      <c r="J24" s="1">
        <f>IF(Tabulka171013253137[[#This Row],[Výsledný čas]]="N",998,IF(Tabulka171013253137[[#This Row],[Výsledný čas]]="D",998,IF(Tabulka171013253137[[#This Row],[Výsledný čas]]="","",Tabulka171013253137[[#This Row],[Výsledný čas]])))</f>
        <v>998</v>
      </c>
      <c r="P24" s="7"/>
      <c r="Q24" s="8"/>
      <c r="R24" s="8"/>
      <c r="AB24" s="3"/>
      <c r="AC24" s="3"/>
      <c r="AL24" s="15"/>
    </row>
    <row r="25" spans="2:42" ht="24.95" customHeight="1" x14ac:dyDescent="0.4">
      <c r="B25" s="6">
        <v>24</v>
      </c>
      <c r="C25" s="1">
        <f>IF(Tabulka171013253137[[#This Row],[ ]]="","",IF(Tabulka171013253137[[#This Row],[ ]]="NEÚČAST","",IF(OR(Tabulka171013253137[Výsledný čas]="N",Tabulka171013253137[Výsledný čas]="D"),$L$4-$L$5,_xlfn.RANK.EQ(Tabulka171013253137[[#This Row],[ ]],Tabulka171013253137[[ ]],1))))</f>
        <v>22</v>
      </c>
      <c r="D25" s="14" t="s">
        <v>33</v>
      </c>
      <c r="E25" s="8">
        <v>18.488</v>
      </c>
      <c r="F25" s="8" t="s">
        <v>9</v>
      </c>
      <c r="G25" s="9" t="str">
        <f>IF(OR(Tabulka171013253137[[#This Row],[LP]]="N",Tabulka171013253137[[#This Row],[PP]]="N"),"N",IF(OR(Tabulka171013253137[[#This Row],[LP]]="D",Tabulka171013253137[[#This Row],[PP]]="D"),"D",IF(OR(Tabulka171013253137[[#This Row],[LP]]="NEÚČAST",Tabulka171013253137[[#This Row],[PP]]="NEÚČAST"),"NEÚČAST",IF(OR(Tabulka171013253137[[#This Row],[LP]]="",Tabulka171013253137[[#This Row],[PP]]=""),"",MAX(Tabulka171013253137[[#This Row],[LP]:[PP]])))))</f>
        <v>N</v>
      </c>
      <c r="H25" s="1">
        <f>COUNTIF(Tabulka171013253137[[#This Row],[Tým]],"*")</f>
        <v>1</v>
      </c>
      <c r="I25" s="1">
        <f>COUNTIF(Tabulka171013253137[[#This Row],[Výsledný čas]],"NEÚČAST")</f>
        <v>0</v>
      </c>
      <c r="J25" s="1">
        <f>IF(Tabulka171013253137[[#This Row],[Výsledný čas]]="N",998,IF(Tabulka171013253137[[#This Row],[Výsledný čas]]="D",998,IF(Tabulka171013253137[[#This Row],[Výsledný čas]]="","",Tabulka171013253137[[#This Row],[Výsledný čas]])))</f>
        <v>998</v>
      </c>
      <c r="N25" s="68"/>
      <c r="P25" s="10"/>
      <c r="Q25" s="8"/>
      <c r="R25" s="8"/>
      <c r="Y25" s="9"/>
      <c r="Z25" s="328" t="str">
        <f>N2</f>
        <v xml:space="preserve">Výsledky - Soutěže 5. kola NHHL 23.6. 2023 Bělá - ŽENY </v>
      </c>
      <c r="AA25" s="309"/>
      <c r="AB25" s="309"/>
      <c r="AC25" s="309"/>
      <c r="AD25" s="309"/>
      <c r="AE25" s="309"/>
      <c r="AF25" s="310"/>
      <c r="AH25" s="308" t="s">
        <v>29</v>
      </c>
      <c r="AI25" s="309"/>
      <c r="AJ25" s="309"/>
      <c r="AK25" s="310"/>
      <c r="AL25" s="15"/>
      <c r="AM25" s="15"/>
    </row>
    <row r="26" spans="2:42" ht="24.95" customHeight="1" thickBot="1" x14ac:dyDescent="0.45">
      <c r="B26" s="6">
        <v>19</v>
      </c>
      <c r="C26" s="1" t="str">
        <f>IF(Tabulka171013253137[[#This Row],[ ]]="","",IF(Tabulka171013253137[[#This Row],[ ]]="NEÚČAST","",IF(OR(Tabulka171013253137[Výsledný čas]="N",Tabulka171013253137[Výsledný čas]="D"),$L$4-$L$5,_xlfn.RANK.EQ(Tabulka171013253137[[#This Row],[ ]],Tabulka171013253137[[ ]],1))))</f>
        <v/>
      </c>
      <c r="D26" s="14" t="s">
        <v>6</v>
      </c>
      <c r="E26" s="8" t="s">
        <v>103</v>
      </c>
      <c r="F26" s="8" t="s">
        <v>103</v>
      </c>
      <c r="G26" s="9" t="str">
        <f>IF(OR(Tabulka171013253137[[#This Row],[LP]]="N",Tabulka171013253137[[#This Row],[PP]]="N"),"N",IF(OR(Tabulka171013253137[[#This Row],[LP]]="D",Tabulka171013253137[[#This Row],[PP]]="D"),"D",IF(OR(Tabulka171013253137[[#This Row],[LP]]="NEÚČAST",Tabulka171013253137[[#This Row],[PP]]="NEÚČAST"),"NEÚČAST",IF(OR(Tabulka171013253137[[#This Row],[LP]]="",Tabulka171013253137[[#This Row],[PP]]=""),"",MAX(Tabulka171013253137[[#This Row],[LP]:[PP]])))))</f>
        <v>NEÚČAST</v>
      </c>
      <c r="H26" s="1">
        <f>COUNTIF(Tabulka171013253137[[#This Row],[Tým]],"*")</f>
        <v>1</v>
      </c>
      <c r="I26" s="1">
        <f>COUNTIF(Tabulka171013253137[[#This Row],[Výsledný čas]],"NEÚČAST")</f>
        <v>1</v>
      </c>
      <c r="J26" s="1" t="str">
        <f>IF(Tabulka171013253137[[#This Row],[Výsledný čas]]="N",998,IF(Tabulka171013253137[[#This Row],[Výsledný čas]]="D",998,IF(Tabulka171013253137[[#This Row],[Výsledný čas]]="","",Tabulka171013253137[[#This Row],[Výsledný čas]])))</f>
        <v>NEÚČAST</v>
      </c>
      <c r="N26" s="70"/>
      <c r="P26" s="10"/>
      <c r="Q26" s="8"/>
      <c r="R26" s="8"/>
      <c r="Z26" s="108" t="s">
        <v>1</v>
      </c>
      <c r="AA26" s="59" t="s">
        <v>2</v>
      </c>
      <c r="AB26" s="59" t="s">
        <v>3</v>
      </c>
      <c r="AC26" s="59" t="s">
        <v>4</v>
      </c>
      <c r="AD26" s="59" t="s">
        <v>5</v>
      </c>
      <c r="AE26" s="59" t="s">
        <v>27</v>
      </c>
      <c r="AF26" s="60" t="s">
        <v>7</v>
      </c>
      <c r="AH26" s="58" t="s">
        <v>1</v>
      </c>
      <c r="AI26" s="59" t="s">
        <v>2</v>
      </c>
      <c r="AJ26" s="59" t="s">
        <v>7</v>
      </c>
      <c r="AK26" s="29" t="s">
        <v>27</v>
      </c>
      <c r="AL26" s="94" t="s">
        <v>73</v>
      </c>
      <c r="AM26" s="15"/>
      <c r="AP26" s="1"/>
    </row>
    <row r="27" spans="2:42" ht="24.95" customHeight="1" x14ac:dyDescent="0.4">
      <c r="B27" s="70"/>
      <c r="D27" s="7"/>
      <c r="E27" s="8"/>
      <c r="F27" s="8"/>
      <c r="P27" s="10"/>
      <c r="Q27" s="8"/>
      <c r="R27" s="8"/>
      <c r="Z27" s="77">
        <f>IF(OR(Tabulka3811142283440[Výsledný čas]="N",Tabulka3811142283440[Výsledný čas]="D",Tabulka3811142283440[Výsledný čas]="NEÚČAST"),Uvod!$E$6,_xlfn.RANK.EQ(Tabulka3811142283440[[#This Row],[ ]],Tabulka3811142283440[[ ]],1))</f>
        <v>1</v>
      </c>
      <c r="AA27" s="78" t="s">
        <v>22</v>
      </c>
      <c r="AB27" s="79">
        <f>VLOOKUP(Tabulka3811142283440[[#This Row],[Tým]],Tabulka1710136303642[[Tým]:[ ]],2,FALSE)</f>
        <v>16.742999999999999</v>
      </c>
      <c r="AC27" s="79">
        <f>VLOOKUP(Tabulka3811142283440[[#This Row],[Tým]],Tabulka1710136303642[[Tým]:[ ]],3,FALSE)</f>
        <v>17.300999999999998</v>
      </c>
      <c r="AD27" s="80">
        <f>VLOOKUP(Tabulka3811142283440[[#This Row],[Tým]],Tabulka1710136303642[[Tým]:[ ]],4,FALSE)</f>
        <v>17.300999999999998</v>
      </c>
      <c r="AE27" s="80">
        <f>VLOOKUP(Tabulka3811142283440[[#This Row],[Tým]],Tabulka1710136303642[[Tým]:[ ]],7,FALSE)</f>
        <v>17.300999999999998</v>
      </c>
      <c r="AF27" s="81">
        <f>IF(Tabulka3811142283440[[#This Row],[Výsledný čas]]="N",5,IF(Tabulka3811142283440[[#This Row],[Výsledný čas]]="D",0,IF(Tabulka3811142283440[[#This Row],[Výsledný čas]]="NEÚČAST",0,Tabulka8[[#Totals],[Týmy ženy]]+6-Tabulka3811142283440[[#This Row],[Umístění]])))</f>
        <v>15</v>
      </c>
      <c r="AH27" s="77">
        <f>_xlfn.RANK.EQ(Tabulka5912153293541[[#This Row],[Body]],Tabulka5912153293541[Body],0)</f>
        <v>1</v>
      </c>
      <c r="AI27" s="78" t="s">
        <v>22</v>
      </c>
      <c r="AJ27" s="81">
        <f>VLOOKUP(Tabulka5912153293541[[#This Row],[Tým]],Tabulka3811142283440[[Tým]:[Body]],6,FALSE)+Tabulka5912153293541[[#This Row],[ ]]</f>
        <v>72</v>
      </c>
      <c r="AK27" s="75">
        <f>VLOOKUP(Tabulka5912153293541[[#This Row],[Tým]],Tabulka59121532935[[Tým]:[Body]],2,FALSE)</f>
        <v>57</v>
      </c>
      <c r="AL27" s="92">
        <f>Tabulka5912153293541[[#This Row],[Umístění]]</f>
        <v>1</v>
      </c>
      <c r="AM27" s="15"/>
      <c r="AP27" s="1"/>
    </row>
    <row r="28" spans="2:42" ht="24.95" customHeight="1" x14ac:dyDescent="0.4">
      <c r="D28" s="16"/>
      <c r="P28" s="10"/>
      <c r="Q28" s="8"/>
      <c r="R28" s="8"/>
      <c r="Z28" s="31">
        <f>IF(OR(Tabulka3811142283440[Výsledný čas]="N",Tabulka3811142283440[Výsledný čas]="D",Tabulka3811142283440[Výsledný čas]="NEÚČAST"),Uvod!$E$6,_xlfn.RANK.EQ(Tabulka3811142283440[[#This Row],[ ]],Tabulka3811142283440[[ ]],1))</f>
        <v>2</v>
      </c>
      <c r="AA28" s="51" t="s">
        <v>35</v>
      </c>
      <c r="AB28" s="44">
        <f>VLOOKUP(Tabulka3811142283440[[#This Row],[Tým]],Tabulka1710136303642[[Tým]:[ ]],2,FALSE)</f>
        <v>17.547999999999998</v>
      </c>
      <c r="AC28" s="44">
        <f>VLOOKUP(Tabulka3811142283440[[#This Row],[Tým]],Tabulka1710136303642[[Tým]:[ ]],3,FALSE)</f>
        <v>17.359000000000002</v>
      </c>
      <c r="AD28" s="25">
        <f>VLOOKUP(Tabulka3811142283440[[#This Row],[Tým]],Tabulka1710136303642[[Tým]:[ ]],4,FALSE)</f>
        <v>17.547999999999998</v>
      </c>
      <c r="AE28" s="25">
        <f>VLOOKUP(Tabulka3811142283440[[#This Row],[Tým]],Tabulka1710136303642[[Tým]:[ ]],7,FALSE)</f>
        <v>17.547999999999998</v>
      </c>
      <c r="AF28" s="29">
        <f>IF(Tabulka3811142283440[[#This Row],[Výsledný čas]]="N",5,IF(Tabulka3811142283440[[#This Row],[Výsledný čas]]="D",0,IF(Tabulka3811142283440[[#This Row],[Výsledný čas]]="NEÚČAST",0,Tabulka8[[#Totals],[Týmy ženy]]+6-Tabulka3811142283440[[#This Row],[Umístění]])))</f>
        <v>14</v>
      </c>
      <c r="AH28" s="31">
        <f>_xlfn.RANK.EQ(Tabulka5912153293541[[#This Row],[Body]],Tabulka5912153293541[Body],0)</f>
        <v>2</v>
      </c>
      <c r="AI28" s="51" t="s">
        <v>34</v>
      </c>
      <c r="AJ28" s="29">
        <f>VLOOKUP(Tabulka5912153293541[[#This Row],[Tým]],Tabulka3811142283440[[Tým]:[Body]],6,FALSE)+Tabulka5912153293541[[#This Row],[ ]]</f>
        <v>70</v>
      </c>
      <c r="AK28" s="75">
        <f>VLOOKUP(Tabulka5912153293541[[#This Row],[Tým]],Tabulka59121532935[[Tým]:[Body]],2,FALSE)</f>
        <v>57</v>
      </c>
      <c r="AL28" s="47">
        <f>Tabulka5912153293541[[#This Row],[Umístění]]</f>
        <v>2</v>
      </c>
      <c r="AM28" s="15"/>
      <c r="AP28" s="1"/>
    </row>
    <row r="29" spans="2:42" ht="24.95" customHeight="1" x14ac:dyDescent="0.4">
      <c r="D29" s="16"/>
      <c r="P29" s="10"/>
      <c r="Q29" s="8"/>
      <c r="R29" s="8"/>
      <c r="Z29" s="31">
        <f>IF(OR(Tabulka3811142283440[Výsledný čas]="N",Tabulka3811142283440[Výsledný čas]="D",Tabulka3811142283440[Výsledný čas]="NEÚČAST"),Uvod!$E$6,_xlfn.RANK.EQ(Tabulka3811142283440[[#This Row],[ ]],Tabulka3811142283440[[ ]],1))</f>
        <v>3</v>
      </c>
      <c r="AA29" s="51" t="s">
        <v>34</v>
      </c>
      <c r="AB29" s="44">
        <f>VLOOKUP(Tabulka3811142283440[[#This Row],[Tým]],Tabulka1710136303642[[Tým]:[ ]],2,FALSE)</f>
        <v>17.571999999999999</v>
      </c>
      <c r="AC29" s="44">
        <f>VLOOKUP(Tabulka3811142283440[[#This Row],[Tým]],Tabulka1710136303642[[Tým]:[ ]],3,FALSE)</f>
        <v>17.356000000000002</v>
      </c>
      <c r="AD29" s="25">
        <f>VLOOKUP(Tabulka3811142283440[[#This Row],[Tým]],Tabulka1710136303642[[Tým]:[ ]],4,FALSE)</f>
        <v>17.571999999999999</v>
      </c>
      <c r="AE29" s="25">
        <f>VLOOKUP(Tabulka3811142283440[[#This Row],[Tým]],Tabulka1710136303642[[Tým]:[ ]],7,FALSE)</f>
        <v>17.571999999999999</v>
      </c>
      <c r="AF29" s="29">
        <f>IF(Tabulka3811142283440[[#This Row],[Výsledný čas]]="N",5,IF(Tabulka3811142283440[[#This Row],[Výsledný čas]]="D",0,IF(Tabulka3811142283440[[#This Row],[Výsledný čas]]="NEÚČAST",0,Tabulka8[[#Totals],[Týmy ženy]]+6-Tabulka3811142283440[[#This Row],[Umístění]])))</f>
        <v>13</v>
      </c>
      <c r="AH29" s="31">
        <f>_xlfn.RANK.EQ(Tabulka5912153293541[[#This Row],[Body]],Tabulka5912153293541[Body],0)</f>
        <v>3</v>
      </c>
      <c r="AI29" s="51" t="s">
        <v>35</v>
      </c>
      <c r="AJ29" s="29">
        <f>VLOOKUP(Tabulka5912153293541[[#This Row],[Tým]],Tabulka3811142283440[[Tým]:[Body]],6,FALSE)+Tabulka5912153293541[[#This Row],[ ]]</f>
        <v>65</v>
      </c>
      <c r="AK29" s="75">
        <f>VLOOKUP(Tabulka5912153293541[[#This Row],[Tým]],Tabulka59121532935[[Tým]:[Body]],2,FALSE)</f>
        <v>51</v>
      </c>
      <c r="AL29" s="47">
        <f>Tabulka5912153293541[[#This Row],[Umístění]]</f>
        <v>3</v>
      </c>
      <c r="AP29" s="1"/>
    </row>
    <row r="30" spans="2:42" ht="24.95" customHeight="1" thickBot="1" x14ac:dyDescent="0.45">
      <c r="D30" s="16"/>
      <c r="N30" s="68"/>
      <c r="P30" s="7"/>
      <c r="Q30" s="8"/>
      <c r="R30" s="8"/>
      <c r="Z30" s="31">
        <f>IF(OR(Tabulka3811142283440[Výsledný čas]="N",Tabulka3811142283440[Výsledný čas]="D",Tabulka3811142283440[Výsledný čas]="NEÚČAST"),Uvod!$E$6,_xlfn.RANK.EQ(Tabulka3811142283440[[#This Row],[ ]],Tabulka3811142283440[[ ]],1))</f>
        <v>4</v>
      </c>
      <c r="AA30" s="51" t="s">
        <v>16</v>
      </c>
      <c r="AB30" s="44">
        <f>VLOOKUP(Tabulka3811142283440[[#This Row],[Tým]],Tabulka1710136303642[[Tým]:[ ]],2,FALSE)</f>
        <v>19.039000000000001</v>
      </c>
      <c r="AC30" s="44">
        <f>VLOOKUP(Tabulka3811142283440[[#This Row],[Tým]],Tabulka1710136303642[[Tým]:[ ]],3,FALSE)</f>
        <v>19.324000000000002</v>
      </c>
      <c r="AD30" s="25">
        <f>VLOOKUP(Tabulka3811142283440[[#This Row],[Tým]],Tabulka1710136303642[[Tým]:[ ]],4,FALSE)</f>
        <v>19.324000000000002</v>
      </c>
      <c r="AE30" s="25">
        <f>VLOOKUP(Tabulka3811142283440[[#This Row],[Tým]],Tabulka1710136303642[[Tým]:[ ]],7,FALSE)</f>
        <v>19.324000000000002</v>
      </c>
      <c r="AF30" s="29">
        <f>IF(Tabulka3811142283440[[#This Row],[Výsledný čas]]="N",5,IF(Tabulka3811142283440[[#This Row],[Výsledný čas]]="D",0,IF(Tabulka3811142283440[[#This Row],[Výsledný čas]]="NEÚČAST",0,Tabulka8[[#Totals],[Týmy ženy]]+6-Tabulka3811142283440[[#This Row],[Umístění]])))</f>
        <v>12</v>
      </c>
      <c r="AH30" s="31">
        <f>_xlfn.RANK.EQ(Tabulka5912153293541[[#This Row],[Body]],Tabulka5912153293541[Body],0)</f>
        <v>4</v>
      </c>
      <c r="AI30" s="51" t="s">
        <v>19</v>
      </c>
      <c r="AJ30" s="29">
        <f>VLOOKUP(Tabulka5912153293541[[#This Row],[Tým]],Tabulka3811142283440[[Tým]:[Body]],6,FALSE)+Tabulka5912153293541[[#This Row],[ ]]</f>
        <v>54</v>
      </c>
      <c r="AK30" s="76">
        <f>VLOOKUP(Tabulka5912153293541[[#This Row],[Tým]],Tabulka59121532935[[Tým]:[Body]],2,FALSE)</f>
        <v>43</v>
      </c>
      <c r="AL30" s="47">
        <f>Tabulka5912153293541[[#This Row],[Umístění]]</f>
        <v>4</v>
      </c>
      <c r="AP30" s="1"/>
    </row>
    <row r="31" spans="2:42" ht="24.95" customHeight="1" x14ac:dyDescent="0.4">
      <c r="D31" s="16"/>
      <c r="N31" s="70"/>
      <c r="P31" s="7"/>
      <c r="Q31" s="8"/>
      <c r="R31" s="8"/>
      <c r="Z31" s="31">
        <f>IF(OR(Tabulka3811142283440[Výsledný čas]="N",Tabulka3811142283440[Výsledný čas]="D",Tabulka3811142283440[Výsledný čas]="NEÚČAST"),Uvod!$E$6,_xlfn.RANK.EQ(Tabulka3811142283440[[#This Row],[ ]],Tabulka3811142283440[[ ]],1))</f>
        <v>5</v>
      </c>
      <c r="AA31" s="51" t="s">
        <v>19</v>
      </c>
      <c r="AB31" s="44">
        <f>VLOOKUP(Tabulka3811142283440[[#This Row],[Tým]],Tabulka1710136303642[[Tým]:[ ]],2,FALSE)</f>
        <v>20.013999999999999</v>
      </c>
      <c r="AC31" s="44">
        <f>VLOOKUP(Tabulka3811142283440[[#This Row],[Tým]],Tabulka1710136303642[[Tým]:[ ]],3,FALSE)</f>
        <v>18.545999999999999</v>
      </c>
      <c r="AD31" s="25">
        <f>VLOOKUP(Tabulka3811142283440[[#This Row],[Tým]],Tabulka1710136303642[[Tým]:[ ]],4,FALSE)</f>
        <v>20.013999999999999</v>
      </c>
      <c r="AE31" s="25">
        <f>VLOOKUP(Tabulka3811142283440[[#This Row],[Tým]],Tabulka1710136303642[[Tým]:[ ]],7,FALSE)</f>
        <v>20.013999999999999</v>
      </c>
      <c r="AF31" s="29">
        <f>IF(Tabulka3811142283440[[#This Row],[Výsledný čas]]="N",5,IF(Tabulka3811142283440[[#This Row],[Výsledný čas]]="D",0,IF(Tabulka3811142283440[[#This Row],[Výsledný čas]]="NEÚČAST",0,Tabulka8[[#Totals],[Týmy ženy]]+6-Tabulka3811142283440[[#This Row],[Umístění]])))</f>
        <v>11</v>
      </c>
      <c r="AH31" s="31">
        <f>_xlfn.RANK.EQ(Tabulka5912153293541[[#This Row],[Body]],Tabulka5912153293541[Body],0)</f>
        <v>5</v>
      </c>
      <c r="AI31" s="51" t="s">
        <v>21</v>
      </c>
      <c r="AJ31" s="29">
        <f>VLOOKUP(Tabulka5912153293541[[#This Row],[Tým]],Tabulka3811142283440[[Tým]:[Body]],6,FALSE)+Tabulka5912153293541[[#This Row],[ ]]</f>
        <v>46</v>
      </c>
      <c r="AK31" s="82">
        <f>VLOOKUP(Tabulka5912153293541[[#This Row],[Tým]],Tabulka59121532935[[Tým]:[Body]],2,FALSE)</f>
        <v>39</v>
      </c>
      <c r="AL31" s="47">
        <f>Tabulka5912153293541[[#This Row],[Umístění]]</f>
        <v>5</v>
      </c>
      <c r="AP31" s="1"/>
    </row>
    <row r="32" spans="2:42" ht="24.95" customHeight="1" x14ac:dyDescent="0.4">
      <c r="D32" s="16"/>
      <c r="P32" s="7"/>
      <c r="Q32" s="8"/>
      <c r="R32" s="8"/>
      <c r="Z32" s="31">
        <f>IF(OR(Tabulka3811142283440[Výsledný čas]="N",Tabulka3811142283440[Výsledný čas]="D",Tabulka3811142283440[Výsledný čas]="NEÚČAST"),Uvod!$E$6,_xlfn.RANK.EQ(Tabulka3811142283440[[#This Row],[ ]],Tabulka3811142283440[[ ]],1))</f>
        <v>6</v>
      </c>
      <c r="AA32" s="51" t="s">
        <v>15</v>
      </c>
      <c r="AB32" s="44">
        <f>VLOOKUP(Tabulka3811142283440[[#This Row],[Tým]],Tabulka1710136303642[[Tým]:[ ]],2,FALSE)</f>
        <v>19.248000000000001</v>
      </c>
      <c r="AC32" s="44">
        <f>VLOOKUP(Tabulka3811142283440[[#This Row],[Tým]],Tabulka1710136303642[[Tým]:[ ]],3,FALSE)</f>
        <v>20.314</v>
      </c>
      <c r="AD32" s="25">
        <f>VLOOKUP(Tabulka3811142283440[[#This Row],[Tým]],Tabulka1710136303642[[Tým]:[ ]],4,FALSE)</f>
        <v>20.314</v>
      </c>
      <c r="AE32" s="25">
        <f>VLOOKUP(Tabulka3811142283440[[#This Row],[Tým]],Tabulka1710136303642[[Tým]:[ ]],7,FALSE)</f>
        <v>20.314</v>
      </c>
      <c r="AF32" s="29">
        <f>IF(Tabulka3811142283440[[#This Row],[Výsledný čas]]="N",5,IF(Tabulka3811142283440[[#This Row],[Výsledný čas]]="D",0,IF(Tabulka3811142283440[[#This Row],[Výsledný čas]]="NEÚČAST",0,Tabulka8[[#Totals],[Týmy ženy]]+6-Tabulka3811142283440[[#This Row],[Umístění]])))</f>
        <v>10</v>
      </c>
      <c r="AH32" s="31">
        <f>_xlfn.RANK.EQ(Tabulka5912153293541[[#This Row],[Body]],Tabulka5912153293541[Body],0)</f>
        <v>6</v>
      </c>
      <c r="AI32" s="51" t="s">
        <v>23</v>
      </c>
      <c r="AJ32" s="29">
        <f>VLOOKUP(Tabulka5912153293541[[#This Row],[Tým]],Tabulka3811142283440[[Tým]:[Body]],6,FALSE)+Tabulka5912153293541[[#This Row],[ ]]</f>
        <v>44</v>
      </c>
      <c r="AK32" s="82">
        <f>VLOOKUP(Tabulka5912153293541[[#This Row],[Tým]],Tabulka59121532935[[Tým]:[Body]],2,FALSE)</f>
        <v>35</v>
      </c>
      <c r="AL32" s="47">
        <f>Tabulka5912153293541[[#This Row],[Umístění]]</f>
        <v>6</v>
      </c>
      <c r="AP32" s="1"/>
    </row>
    <row r="33" spans="4:42" ht="24.95" customHeight="1" x14ac:dyDescent="0.4">
      <c r="D33" s="16"/>
      <c r="P33" s="7"/>
      <c r="Q33" s="8"/>
      <c r="R33" s="8"/>
      <c r="Z33" s="31">
        <f>IF(OR(Tabulka3811142283440[Výsledný čas]="N",Tabulka3811142283440[Výsledný čas]="D",Tabulka3811142283440[Výsledný čas]="NEÚČAST"),Uvod!$E$6,_xlfn.RANK.EQ(Tabulka3811142283440[[#This Row],[ ]],Tabulka3811142283440[[ ]],1))</f>
        <v>7</v>
      </c>
      <c r="AA33" s="51" t="s">
        <v>23</v>
      </c>
      <c r="AB33" s="44">
        <f>VLOOKUP(Tabulka3811142283440[[#This Row],[Tým]],Tabulka1710136303642[[Tým]:[ ]],2,FALSE)</f>
        <v>21.581</v>
      </c>
      <c r="AC33" s="44">
        <f>VLOOKUP(Tabulka3811142283440[[#This Row],[Tým]],Tabulka1710136303642[[Tým]:[ ]],3,FALSE)</f>
        <v>20.440999999999999</v>
      </c>
      <c r="AD33" s="25">
        <f>VLOOKUP(Tabulka3811142283440[[#This Row],[Tým]],Tabulka1710136303642[[Tým]:[ ]],4,FALSE)</f>
        <v>21.581</v>
      </c>
      <c r="AE33" s="25">
        <f>VLOOKUP(Tabulka3811142283440[[#This Row],[Tým]],Tabulka1710136303642[[Tým]:[ ]],7,FALSE)</f>
        <v>21.581</v>
      </c>
      <c r="AF33" s="29">
        <f>IF(Tabulka3811142283440[[#This Row],[Výsledný čas]]="N",5,IF(Tabulka3811142283440[[#This Row],[Výsledný čas]]="D",0,IF(Tabulka3811142283440[[#This Row],[Výsledný čas]]="NEÚČAST",0,Tabulka8[[#Totals],[Týmy ženy]]+6-Tabulka3811142283440[[#This Row],[Umístění]])))</f>
        <v>9</v>
      </c>
      <c r="AH33" s="31">
        <f>_xlfn.RANK.EQ(Tabulka5912153293541[[#This Row],[Body]],Tabulka5912153293541[Body],0)</f>
        <v>7</v>
      </c>
      <c r="AI33" s="51" t="s">
        <v>15</v>
      </c>
      <c r="AJ33" s="29">
        <f>VLOOKUP(Tabulka5912153293541[[#This Row],[Tým]],Tabulka3811142283440[[Tým]:[Body]],6,FALSE)+Tabulka5912153293541[[#This Row],[ ]]</f>
        <v>43</v>
      </c>
      <c r="AK33" s="82">
        <f>VLOOKUP(Tabulka5912153293541[[#This Row],[Tým]],Tabulka59121532935[[Tým]:[Body]],2,FALSE)</f>
        <v>33</v>
      </c>
      <c r="AL33" s="47">
        <f>Tabulka5912153293541[[#This Row],[Umístění]]</f>
        <v>7</v>
      </c>
      <c r="AP33" s="1"/>
    </row>
    <row r="34" spans="4:42" ht="24.95" customHeight="1" x14ac:dyDescent="0.4">
      <c r="D34" s="16"/>
      <c r="P34" s="7"/>
      <c r="Q34" s="8"/>
      <c r="R34" s="8"/>
      <c r="Z34" s="31">
        <f>IF(OR(Tabulka3811142283440[Výsledný čas]="N",Tabulka3811142283440[Výsledný čas]="D",Tabulka3811142283440[Výsledný čas]="NEÚČAST"),Uvod!$E$6,_xlfn.RANK.EQ(Tabulka3811142283440[[#This Row],[ ]],Tabulka3811142283440[[ ]],1))</f>
        <v>8</v>
      </c>
      <c r="AA34" s="51" t="s">
        <v>24</v>
      </c>
      <c r="AB34" s="44">
        <f>VLOOKUP(Tabulka3811142283440[[#This Row],[Tým]],Tabulka1710136303642[[Tým]:[ ]],2,FALSE)</f>
        <v>22.864000000000001</v>
      </c>
      <c r="AC34" s="44">
        <f>VLOOKUP(Tabulka3811142283440[[#This Row],[Tým]],Tabulka1710136303642[[Tým]:[ ]],3,FALSE)</f>
        <v>22.707000000000001</v>
      </c>
      <c r="AD34" s="25">
        <f>VLOOKUP(Tabulka3811142283440[[#This Row],[Tým]],Tabulka1710136303642[[Tým]:[ ]],4,FALSE)</f>
        <v>22.864000000000001</v>
      </c>
      <c r="AE34" s="25">
        <f>VLOOKUP(Tabulka3811142283440[[#This Row],[Tým]],Tabulka1710136303642[[Tým]:[ ]],7,FALSE)</f>
        <v>22.864000000000001</v>
      </c>
      <c r="AF34" s="29">
        <f>IF(Tabulka3811142283440[[#This Row],[Výsledný čas]]="N",5,IF(Tabulka3811142283440[[#This Row],[Výsledný čas]]="D",0,IF(Tabulka3811142283440[[#This Row],[Výsledný čas]]="NEÚČAST",0,Tabulka8[[#Totals],[Týmy ženy]]+6-Tabulka3811142283440[[#This Row],[Umístění]])))</f>
        <v>8</v>
      </c>
      <c r="AH34" s="31">
        <f>_xlfn.RANK.EQ(Tabulka5912153293541[[#This Row],[Body]],Tabulka5912153293541[Body],0)</f>
        <v>8</v>
      </c>
      <c r="AI34" s="51" t="s">
        <v>36</v>
      </c>
      <c r="AJ34" s="29">
        <f>VLOOKUP(Tabulka5912153293541[[#This Row],[Tým]],Tabulka3811142283440[[Tým]:[Body]],6,FALSE)+Tabulka5912153293541[[#This Row],[ ]]</f>
        <v>42</v>
      </c>
      <c r="AK34" s="82">
        <f>VLOOKUP(Tabulka5912153293541[[#This Row],[Tým]],Tabulka59121532935[[Tým]:[Body]],2,FALSE)</f>
        <v>36</v>
      </c>
      <c r="AL34" s="47">
        <f>Tabulka5912153293541[[#This Row],[Umístění]]</f>
        <v>8</v>
      </c>
      <c r="AP34" s="1"/>
    </row>
    <row r="35" spans="4:42" ht="24.95" customHeight="1" x14ac:dyDescent="0.4">
      <c r="D35" s="16"/>
      <c r="N35" s="68"/>
      <c r="P35" s="7"/>
      <c r="Q35" s="8"/>
      <c r="R35" s="8"/>
      <c r="Z35" s="31">
        <f>IF(OR(Tabulka3811142283440[Výsledný čas]="N",Tabulka3811142283440[Výsledný čas]="D",Tabulka3811142283440[Výsledný čas]="NEÚČAST"),Uvod!$E$6,_xlfn.RANK.EQ(Tabulka3811142283440[[#This Row],[ ]],Tabulka3811142283440[[ ]],1))</f>
        <v>9</v>
      </c>
      <c r="AA35" s="51" t="s">
        <v>21</v>
      </c>
      <c r="AB35" s="44">
        <f>VLOOKUP(Tabulka3811142283440[[#This Row],[Tým]],Tabulka1710136303642[[Tým]:[ ]],2,FALSE)</f>
        <v>24.998000000000001</v>
      </c>
      <c r="AC35" s="44">
        <f>VLOOKUP(Tabulka3811142283440[[#This Row],[Tým]],Tabulka1710136303642[[Tým]:[ ]],3,FALSE)</f>
        <v>21.876000000000001</v>
      </c>
      <c r="AD35" s="25">
        <f>VLOOKUP(Tabulka3811142283440[[#This Row],[Tým]],Tabulka1710136303642[[Tým]:[ ]],4,FALSE)</f>
        <v>24.998000000000001</v>
      </c>
      <c r="AE35" s="25">
        <f>VLOOKUP(Tabulka3811142283440[[#This Row],[Tým]],Tabulka1710136303642[[Tým]:[ ]],7,FALSE)</f>
        <v>24.998000000000001</v>
      </c>
      <c r="AF35" s="29">
        <f>IF(Tabulka3811142283440[[#This Row],[Výsledný čas]]="N",5,IF(Tabulka3811142283440[[#This Row],[Výsledný čas]]="D",0,IF(Tabulka3811142283440[[#This Row],[Výsledný čas]]="NEÚČAST",0,Tabulka8[[#Totals],[Týmy ženy]]+6-Tabulka3811142283440[[#This Row],[Umístění]])))</f>
        <v>7</v>
      </c>
      <c r="AH35" s="31">
        <f>_xlfn.RANK.EQ(Tabulka5912153293541[[#This Row],[Body]],Tabulka5912153293541[Body],0)</f>
        <v>9</v>
      </c>
      <c r="AI35" s="51" t="s">
        <v>16</v>
      </c>
      <c r="AJ35" s="29">
        <f>VLOOKUP(Tabulka5912153293541[[#This Row],[Tým]],Tabulka3811142283440[[Tým]:[Body]],6,FALSE)+Tabulka5912153293541[[#This Row],[ ]]</f>
        <v>39</v>
      </c>
      <c r="AK35" s="82">
        <f>VLOOKUP(Tabulka5912153293541[[#This Row],[Tým]],Tabulka59121532935[[Tým]:[Body]],2,FALSE)</f>
        <v>27</v>
      </c>
      <c r="AL35" s="47">
        <f>Tabulka5912153293541[[#This Row],[Umístění]]</f>
        <v>9</v>
      </c>
      <c r="AP35" s="1"/>
    </row>
    <row r="36" spans="4:42" ht="24.95" customHeight="1" thickBot="1" x14ac:dyDescent="0.45">
      <c r="D36" s="16"/>
      <c r="N36" s="68"/>
      <c r="P36" s="7"/>
      <c r="Q36" s="8"/>
      <c r="R36" s="8"/>
      <c r="Z36" s="33">
        <f>IF(OR(Tabulka3811142283440[Výsledný čas]="N",Tabulka3811142283440[Výsledný čas]="D",Tabulka3811142283440[Výsledný čas]="NEÚČAST"),Uvod!$E$6,_xlfn.RANK.EQ(Tabulka3811142283440[[#This Row],[ ]],Tabulka3811142283440[[ ]],1))</f>
        <v>10</v>
      </c>
      <c r="AA36" s="62" t="s">
        <v>36</v>
      </c>
      <c r="AB36" s="45">
        <f>VLOOKUP(Tabulka3811142283440[[#This Row],[Tým]],Tabulka1710136303642[[Tým]:[ ]],2,FALSE)</f>
        <v>32.936</v>
      </c>
      <c r="AC36" s="45">
        <f>VLOOKUP(Tabulka3811142283440[[#This Row],[Tým]],Tabulka1710136303642[[Tým]:[ ]],3,FALSE)</f>
        <v>33.33</v>
      </c>
      <c r="AD36" s="34">
        <f>VLOOKUP(Tabulka3811142283440[[#This Row],[Tým]],Tabulka1710136303642[[Tým]:[ ]],4,FALSE)</f>
        <v>33.33</v>
      </c>
      <c r="AE36" s="34">
        <f>VLOOKUP(Tabulka3811142283440[[#This Row],[Tým]],Tabulka1710136303642[[Tým]:[ ]],7,FALSE)</f>
        <v>33.33</v>
      </c>
      <c r="AF36" s="36">
        <f>IF(Tabulka3811142283440[[#This Row],[Výsledný čas]]="N",5,IF(Tabulka3811142283440[[#This Row],[Výsledný čas]]="D",0,IF(Tabulka3811142283440[[#This Row],[Výsledný čas]]="NEÚČAST",0,Tabulka8[[#Totals],[Týmy ženy]]+6-Tabulka3811142283440[[#This Row],[Umístění]])))</f>
        <v>6</v>
      </c>
      <c r="AH36" s="33">
        <f>_xlfn.RANK.EQ(Tabulka5912153293541[[#This Row],[Body]],Tabulka5912153293541[Body],0)</f>
        <v>10</v>
      </c>
      <c r="AI36" s="62" t="s">
        <v>24</v>
      </c>
      <c r="AJ36" s="36">
        <f>VLOOKUP(Tabulka5912153293541[[#This Row],[Tým]],Tabulka3811142283440[[Tým]:[Body]],6,FALSE)+Tabulka5912153293541[[#This Row],[ ]]</f>
        <v>34</v>
      </c>
      <c r="AK36" s="82">
        <f>VLOOKUP(Tabulka5912153293541[[#This Row],[Tým]],Tabulka59121532935[[Tým]:[Body]],2,FALSE)</f>
        <v>26</v>
      </c>
      <c r="AL36" s="93">
        <f>Tabulka5912153293541[[#This Row],[Umístění]]</f>
        <v>10</v>
      </c>
      <c r="AP36" s="1"/>
    </row>
    <row r="37" spans="4:42" ht="24.95" customHeight="1" x14ac:dyDescent="0.4">
      <c r="D37" s="16"/>
      <c r="P37" s="7"/>
      <c r="Q37" s="8"/>
      <c r="R37" s="8"/>
      <c r="AB37" s="3"/>
      <c r="AC37" s="3"/>
      <c r="AK37" s="4"/>
    </row>
    <row r="38" spans="4:42" ht="24.95" customHeight="1" x14ac:dyDescent="0.4">
      <c r="D38" s="16"/>
      <c r="P38" s="7"/>
      <c r="Q38" s="8"/>
      <c r="R38" s="8"/>
      <c r="AB38" s="3"/>
      <c r="AC38" s="3"/>
      <c r="AK38" s="4"/>
    </row>
    <row r="39" spans="4:42" ht="24.95" customHeight="1" x14ac:dyDescent="0.4">
      <c r="D39" s="16"/>
      <c r="P39" s="7"/>
      <c r="Q39" s="8"/>
      <c r="R39" s="8"/>
      <c r="AB39" s="3"/>
      <c r="AC39" s="3"/>
      <c r="AK39" s="4"/>
    </row>
    <row r="40" spans="4:42" ht="24.95" customHeight="1" x14ac:dyDescent="0.4">
      <c r="D40" s="16"/>
      <c r="N40" s="70"/>
      <c r="P40" s="7"/>
      <c r="Q40" s="8"/>
      <c r="R40" s="8"/>
      <c r="AB40" s="3"/>
      <c r="AC40" s="3"/>
      <c r="AK40" s="4"/>
    </row>
    <row r="41" spans="4:42" ht="24.95" customHeight="1" x14ac:dyDescent="0.4">
      <c r="D41" s="16"/>
      <c r="N41" s="70"/>
      <c r="P41" s="7"/>
      <c r="Q41" s="8"/>
      <c r="R41" s="8"/>
      <c r="AB41" s="3"/>
      <c r="AC41" s="3"/>
      <c r="AK41" s="4"/>
    </row>
    <row r="42" spans="4:42" ht="24.95" customHeight="1" x14ac:dyDescent="0.4">
      <c r="D42" s="16"/>
      <c r="P42" s="7"/>
      <c r="Q42" s="8"/>
      <c r="R42" s="8"/>
      <c r="AB42" s="3"/>
      <c r="AC42" s="3"/>
      <c r="AK42" s="4"/>
    </row>
    <row r="43" spans="4:42" ht="24.95" customHeight="1" x14ac:dyDescent="0.4">
      <c r="D43" s="16"/>
      <c r="P43" s="7"/>
      <c r="Q43" s="8"/>
      <c r="R43" s="8"/>
      <c r="AB43" s="3"/>
      <c r="AC43" s="3"/>
      <c r="AK43" s="4"/>
    </row>
    <row r="44" spans="4:42" ht="24.95" customHeight="1" x14ac:dyDescent="0.4">
      <c r="D44" s="16"/>
      <c r="P44" s="7"/>
      <c r="Q44" s="8"/>
      <c r="R44" s="8"/>
    </row>
    <row r="45" spans="4:42" ht="24.95" customHeight="1" x14ac:dyDescent="0.4">
      <c r="D45" s="16"/>
      <c r="N45" s="68"/>
      <c r="P45" s="7"/>
      <c r="Q45" s="8"/>
      <c r="R45" s="8"/>
    </row>
    <row r="46" spans="4:42" ht="24.95" customHeight="1" x14ac:dyDescent="0.4">
      <c r="D46" s="16"/>
      <c r="N46" s="68"/>
      <c r="P46" s="7"/>
      <c r="Q46" s="8"/>
      <c r="R46" s="8"/>
    </row>
    <row r="47" spans="4:42" ht="24.95" customHeight="1" x14ac:dyDescent="0.4">
      <c r="D47" s="16"/>
      <c r="P47" s="7"/>
      <c r="Q47" s="8"/>
      <c r="R47" s="8"/>
    </row>
    <row r="48" spans="4:42" ht="24.95" customHeight="1" x14ac:dyDescent="0.4">
      <c r="D48" s="16"/>
      <c r="P48" s="7"/>
      <c r="Q48" s="8"/>
      <c r="R48" s="8"/>
    </row>
    <row r="49" spans="4:18" ht="24.95" customHeight="1" x14ac:dyDescent="0.4">
      <c r="D49" s="16"/>
      <c r="P49" s="7"/>
      <c r="Q49" s="8"/>
      <c r="R49" s="8"/>
    </row>
    <row r="50" spans="4:18" ht="24.95" customHeight="1" x14ac:dyDescent="0.4">
      <c r="D50" s="16"/>
      <c r="N50" s="68"/>
      <c r="P50" s="7"/>
      <c r="Q50" s="8"/>
      <c r="R50" s="8"/>
    </row>
    <row r="51" spans="4:18" ht="24.95" customHeight="1" x14ac:dyDescent="0.4">
      <c r="D51" s="16"/>
      <c r="N51" s="68"/>
      <c r="P51" s="7"/>
      <c r="Q51" s="8"/>
      <c r="R51" s="8"/>
    </row>
    <row r="52" spans="4:18" ht="24.95" customHeight="1" x14ac:dyDescent="0.4">
      <c r="D52" s="16"/>
      <c r="P52" s="7"/>
      <c r="Q52" s="8"/>
      <c r="R52" s="8"/>
    </row>
    <row r="53" spans="4:18" ht="24.95" customHeight="1" x14ac:dyDescent="0.4">
      <c r="D53" s="16"/>
      <c r="P53" s="7"/>
      <c r="Q53" s="8"/>
      <c r="R53" s="8"/>
    </row>
    <row r="54" spans="4:18" x14ac:dyDescent="0.4">
      <c r="D54" s="16"/>
      <c r="P54" s="7"/>
      <c r="Q54" s="8"/>
      <c r="R54" s="8"/>
    </row>
    <row r="55" spans="4:18" x14ac:dyDescent="0.4">
      <c r="D55" s="16"/>
      <c r="P55" s="16"/>
    </row>
    <row r="56" spans="4:18" x14ac:dyDescent="0.4">
      <c r="D56" s="16"/>
      <c r="P56" s="16"/>
    </row>
    <row r="57" spans="4:18" x14ac:dyDescent="0.4">
      <c r="P57" s="16"/>
    </row>
    <row r="58" spans="4:18" x14ac:dyDescent="0.4">
      <c r="P58" s="16"/>
    </row>
    <row r="59" spans="4:18" x14ac:dyDescent="0.4">
      <c r="P59" s="16"/>
    </row>
  </sheetData>
  <mergeCells count="6">
    <mergeCell ref="B2:J2"/>
    <mergeCell ref="N2:V2"/>
    <mergeCell ref="Z2:AF2"/>
    <mergeCell ref="AH2:AK2"/>
    <mergeCell ref="Z25:AF25"/>
    <mergeCell ref="AH25:AK25"/>
  </mergeCells>
  <phoneticPr fontId="12" type="noConversion"/>
  <conditionalFormatting sqref="D13">
    <cfRule type="duplicateValues" dxfId="17" priority="1"/>
  </conditionalFormatting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6FCB8-D68F-4CE1-937A-214265E6D701}">
  <dimension ref="A1:AP56"/>
  <sheetViews>
    <sheetView showGridLines="0" topLeftCell="F1" zoomScale="55" zoomScaleNormal="55" workbookViewId="0">
      <selection activeCell="P28" sqref="P28"/>
    </sheetView>
  </sheetViews>
  <sheetFormatPr defaultRowHeight="26.25" x14ac:dyDescent="0.4"/>
  <cols>
    <col min="1" max="1" width="5.7109375" style="1" customWidth="1"/>
    <col min="2" max="3" width="16.7109375" style="1" customWidth="1"/>
    <col min="4" max="4" width="35.7109375" style="1" customWidth="1"/>
    <col min="5" max="6" width="16.7109375" style="1" customWidth="1"/>
    <col min="7" max="7" width="20.7109375" style="1" customWidth="1"/>
    <col min="8" max="9" width="20.7109375" style="1" hidden="1" customWidth="1"/>
    <col min="10" max="12" width="11.5703125" style="1" hidden="1" customWidth="1"/>
    <col min="13" max="13" width="10.7109375" style="1" customWidth="1"/>
    <col min="14" max="15" width="16.7109375" style="1" customWidth="1"/>
    <col min="16" max="16" width="35.7109375" style="1" customWidth="1"/>
    <col min="17" max="18" width="16.7109375" style="1" customWidth="1"/>
    <col min="19" max="19" width="20.7109375" style="1" customWidth="1"/>
    <col min="20" max="21" width="20.7109375" style="1" hidden="1" customWidth="1"/>
    <col min="22" max="24" width="13.7109375" style="1" hidden="1" customWidth="1"/>
    <col min="25" max="25" width="9.140625" style="1"/>
    <col min="26" max="26" width="16.7109375" style="1" customWidth="1"/>
    <col min="27" max="27" width="35.7109375" style="1" customWidth="1"/>
    <col min="28" max="29" width="16.7109375" style="1" customWidth="1"/>
    <col min="30" max="30" width="20.7109375" style="1" customWidth="1"/>
    <col min="31" max="31" width="13.7109375" style="1" hidden="1" customWidth="1"/>
    <col min="32" max="32" width="12.7109375" style="1" customWidth="1"/>
    <col min="33" max="33" width="9.140625" style="1"/>
    <col min="34" max="34" width="16.7109375" style="1" customWidth="1"/>
    <col min="35" max="35" width="35.7109375" style="1" customWidth="1"/>
    <col min="36" max="36" width="12.7109375" style="1" customWidth="1"/>
    <col min="37" max="38" width="34.42578125" style="1" hidden="1" customWidth="1"/>
    <col min="39" max="41" width="9.140625" style="1"/>
    <col min="42" max="16384" width="9.140625" style="2"/>
  </cols>
  <sheetData>
    <row r="1" spans="1:42" ht="24.95" customHeight="1" thickBot="1" x14ac:dyDescent="0.45"/>
    <row r="2" spans="1:42" ht="24.95" customHeight="1" x14ac:dyDescent="0.4">
      <c r="A2" s="9"/>
      <c r="B2" s="317" t="str">
        <f>"Výsledky - Soutěže "&amp;Uvod!A8&amp;" kola NHHL "&amp;TEXT(Uvod!B8,"d.m. rrrr")&amp;" "&amp;Uvod!C8&amp;" - MUŽI "</f>
        <v xml:space="preserve">Výsledky - Soutěže 6. kola NHHL 14.7. 2023 Závada - MUŽI </v>
      </c>
      <c r="C2" s="318"/>
      <c r="D2" s="318"/>
      <c r="E2" s="318"/>
      <c r="F2" s="318"/>
      <c r="G2" s="318"/>
      <c r="H2" s="318"/>
      <c r="I2" s="318"/>
      <c r="J2" s="319"/>
      <c r="K2" s="177"/>
      <c r="L2" s="177"/>
      <c r="M2" s="15"/>
      <c r="N2" s="308" t="str">
        <f>"Výsledky - Soutěže "&amp;Uvod!A8&amp;" kola NHHL "&amp;TEXT(Uvod!B8,"d.m. rrrr")&amp;" "&amp;Uvod!C8&amp;" - ŽENY "</f>
        <v xml:space="preserve">Výsledky - Soutěže 6. kola NHHL 14.7. 2023 Závada - ŽENY </v>
      </c>
      <c r="O2" s="309"/>
      <c r="P2" s="309"/>
      <c r="Q2" s="309"/>
      <c r="R2" s="309"/>
      <c r="S2" s="309"/>
      <c r="T2" s="320"/>
      <c r="U2" s="320"/>
      <c r="V2" s="310"/>
      <c r="W2" s="180"/>
      <c r="X2" s="180"/>
      <c r="Y2" s="15"/>
      <c r="Z2" s="324" t="str">
        <f>B2</f>
        <v xml:space="preserve">Výsledky - Soutěže 6. kola NHHL 14.7. 2023 Závada - MUŽI </v>
      </c>
      <c r="AA2" s="325"/>
      <c r="AB2" s="325"/>
      <c r="AC2" s="325"/>
      <c r="AD2" s="325"/>
      <c r="AE2" s="325"/>
      <c r="AF2" s="326"/>
      <c r="AH2" s="324" t="s">
        <v>131</v>
      </c>
      <c r="AI2" s="325"/>
      <c r="AJ2" s="325"/>
      <c r="AK2" s="327"/>
      <c r="AL2" s="15"/>
    </row>
    <row r="3" spans="1:42" ht="24.95" customHeight="1" thickBot="1" x14ac:dyDescent="0.45">
      <c r="B3" s="21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3" t="s">
        <v>5</v>
      </c>
      <c r="H3" s="22" t="s">
        <v>73</v>
      </c>
      <c r="I3" s="22" t="s">
        <v>74</v>
      </c>
      <c r="J3" s="1" t="s">
        <v>27</v>
      </c>
      <c r="N3" s="28" t="s">
        <v>0</v>
      </c>
      <c r="O3" s="24" t="s">
        <v>1</v>
      </c>
      <c r="P3" s="24" t="s">
        <v>2</v>
      </c>
      <c r="Q3" s="24" t="s">
        <v>3</v>
      </c>
      <c r="R3" s="24" t="s">
        <v>4</v>
      </c>
      <c r="S3" s="24" t="s">
        <v>5</v>
      </c>
      <c r="T3" s="233" t="s">
        <v>73</v>
      </c>
      <c r="U3" s="233" t="s">
        <v>74</v>
      </c>
      <c r="V3" s="29" t="s">
        <v>27</v>
      </c>
      <c r="Y3" s="15"/>
      <c r="Z3" s="58" t="s">
        <v>1</v>
      </c>
      <c r="AA3" s="59" t="s">
        <v>2</v>
      </c>
      <c r="AB3" s="59" t="s">
        <v>3</v>
      </c>
      <c r="AC3" s="59" t="s">
        <v>4</v>
      </c>
      <c r="AD3" s="59" t="s">
        <v>5</v>
      </c>
      <c r="AE3" s="59" t="s">
        <v>27</v>
      </c>
      <c r="AF3" s="60" t="s">
        <v>7</v>
      </c>
      <c r="AH3" s="58" t="s">
        <v>1</v>
      </c>
      <c r="AI3" s="59" t="s">
        <v>2</v>
      </c>
      <c r="AJ3" s="59" t="s">
        <v>7</v>
      </c>
      <c r="AK3" s="46" t="s">
        <v>27</v>
      </c>
      <c r="AL3" s="94" t="s">
        <v>73</v>
      </c>
      <c r="AM3" s="15"/>
      <c r="AP3" s="1"/>
    </row>
    <row r="4" spans="1:42" ht="24.95" customHeight="1" x14ac:dyDescent="0.4">
      <c r="B4" s="6" t="s">
        <v>60</v>
      </c>
      <c r="C4" s="1">
        <f>IF(Tabulka17101325313743[[#This Row],[ ]]="","",IF(Tabulka17101325313743[[#This Row],[ ]]="NEÚČAST","",IF(OR(Tabulka17101325313743[Výsledný čas]="N",Tabulka17101325313743[Výsledný čas]="D"),$L$4-$L$5,_xlfn.RANK.EQ(Tabulka17101325313743[[#This Row],[ ]],Tabulka17101325313743[[ ]],1))))</f>
        <v>1</v>
      </c>
      <c r="D4" s="7" t="s">
        <v>30</v>
      </c>
      <c r="E4" s="342">
        <v>14.73</v>
      </c>
      <c r="F4" s="342">
        <v>14.59</v>
      </c>
      <c r="G4" s="237">
        <f>IF(OR(Tabulka17101325313743[[#This Row],[LP]]="N",Tabulka17101325313743[[#This Row],[PP]]="N"),"N",IF(OR(Tabulka17101325313743[[#This Row],[LP]]="D",Tabulka17101325313743[[#This Row],[PP]]="D"),"D",IF(OR(Tabulka17101325313743[[#This Row],[LP]]="NEÚČAST",Tabulka17101325313743[[#This Row],[PP]]="NEÚČAST"),"NEÚČAST",IF(OR(Tabulka17101325313743[[#This Row],[LP]]="",Tabulka17101325313743[[#This Row],[PP]]=""),"",MAX(Tabulka17101325313743[[#This Row],[LP]:[PP]])))))</f>
        <v>14.73</v>
      </c>
      <c r="H4" s="1">
        <f>COUNTIF(Tabulka17101325313743[[#This Row],[Tým]],"*")</f>
        <v>1</v>
      </c>
      <c r="I4" s="1">
        <f>COUNTIF(Tabulka17101325313743[[#This Row],[Výsledný čas]],"NEÚČAST")</f>
        <v>0</v>
      </c>
      <c r="J4" s="1">
        <f>IF(Tabulka17101325313743[[#This Row],[Výsledný čas]]="N",998,IF(Tabulka17101325313743[[#This Row],[Výsledný čas]]="D",998,IF(Tabulka17101325313743[[#This Row],[Výsledný čas]]="","",Tabulka17101325313743[[#This Row],[Výsledný čas]])))</f>
        <v>14.73</v>
      </c>
      <c r="L4" s="1">
        <f>SUM(Tabulka17101325313743[Sloupec1])</f>
        <v>24</v>
      </c>
      <c r="N4" s="30" t="s">
        <v>99</v>
      </c>
      <c r="O4" s="25">
        <f>IF(Tabulka171013630364248[[#This Row],[ ]]="","",IF(Tabulka171013630364248[[#This Row],[ ]]="NEÚČAST","",IF(OR(Tabulka171013630364248[Výsledný čas]="N",Tabulka171013630364248[Výsledný čas]="D"),$X$4-$X$5,_xlfn.RANK.EQ(Tabulka171013630364248[[#This Row],[ ]],Tabulka171013630364248[[ ]],1))))</f>
        <v>1</v>
      </c>
      <c r="P4" s="26" t="s">
        <v>34</v>
      </c>
      <c r="Q4" s="344">
        <v>17.559999999999999</v>
      </c>
      <c r="R4" s="344">
        <v>17.739999999999998</v>
      </c>
      <c r="S4" s="25">
        <f>IF(OR(Tabulka171013630364248[[#This Row],[LP]]="N",Tabulka171013630364248[[#This Row],[PP]]="N"),"N",IF(OR(Tabulka171013630364248[[#This Row],[LP]]="D",Tabulka171013630364248[[#This Row],[PP]]="D"),"D",IF(OR(Tabulka171013630364248[[#This Row],[LP]]="NEÚČAST",Tabulka171013630364248[[#This Row],[PP]]="NEÚČAST"),"NEÚČAST",IF(OR(Tabulka171013630364248[[#This Row],[LP]]="",Tabulka171013630364248[[#This Row],[PP]]=""),"",MAX(Tabulka171013630364248[[#This Row],[LP]:[PP]])))))</f>
        <v>17.739999999999998</v>
      </c>
      <c r="T4" s="46">
        <f>COUNTIF(Tabulka171013630364248[[#This Row],[Tým]],"*")</f>
        <v>1</v>
      </c>
      <c r="U4" s="46">
        <f>COUNTIF(Tabulka171013630364248[[#This Row],[Výsledný čas]],"NEÚČAST")</f>
        <v>0</v>
      </c>
      <c r="V4" s="29">
        <f>IF(Tabulka171013630364248[[#This Row],[Výsledný čas]]="N",998,IF(Tabulka171013630364248[[#This Row],[Výsledný čas]]="D",998,IF(Tabulka171013630364248[[#This Row],[Výsledný čas]]="","",Tabulka171013630364248[[#This Row],[Výsledný čas]])))</f>
        <v>17.739999999999998</v>
      </c>
      <c r="X4" s="1">
        <f>SUM(Tabulka171013630364248[Sloupec1])</f>
        <v>12</v>
      </c>
      <c r="Y4" s="15"/>
      <c r="Z4" s="77">
        <f>IF(OR(Tabulka38111426323844[Výsledný čas]="N",Tabulka38111426323844[Výsledný čas]="D",Tabulka38111426323844[Výsledný čas]="NEÚČAST"),Uvod!$E$4,_xlfn.RANK.EQ(Tabulka38111426323844[[#This Row],[ ]],Tabulka38111426323844[[ ]],1))</f>
        <v>1</v>
      </c>
      <c r="AA4" s="78" t="s">
        <v>30</v>
      </c>
      <c r="AB4" s="347">
        <f>VLOOKUP(Tabulka38111426323844[[#This Row],[Tým]],Tabulka17101325313743[[Tým]:[ ]],2,FALSE)</f>
        <v>14.73</v>
      </c>
      <c r="AC4" s="347">
        <f>VLOOKUP(Tabulka38111426323844[[#This Row],[Tým]],Tabulka17101325313743[[Tým]:[ ]],3,FALSE)</f>
        <v>14.59</v>
      </c>
      <c r="AD4" s="347">
        <f>VLOOKUP(Tabulka38111426323844[[#This Row],[Tým]],Tabulka17101325313743[[Tým]:[ ]],4,FALSE)</f>
        <v>14.73</v>
      </c>
      <c r="AE4" s="80">
        <f>VLOOKUP(Tabulka38111426323844[[#This Row],[Tým]],Tabulka17101325313743[[Tým]:[ ]],7,FALSE)</f>
        <v>14.73</v>
      </c>
      <c r="AF4" s="81">
        <f>IF(Tabulka38111426323844[[#This Row],[Výsledný čas]]="N",5,IF(Tabulka38111426323844[[#This Row],[Výsledný čas]]="D",0,IF(Tabulka38111426323844[[#This Row],[Výsledný čas]]="NEÚČAST",0,Tabulka4[[#Totals],[Týmy muži]]+6-Tabulka38111426323844[[#This Row],[Umístění]])))</f>
        <v>24</v>
      </c>
      <c r="AH4" s="77">
        <f>_xlfn.RANK.EQ(Tabulka59121527333945[[#This Row],[Body]],Tabulka59121527333945[Body],0)</f>
        <v>1</v>
      </c>
      <c r="AI4" s="78" t="s">
        <v>19</v>
      </c>
      <c r="AJ4" s="81">
        <f>VLOOKUP(Tabulka59121527333945[[#This Row],[Tým]],Tabulka38111426323844[[Tým]:[Body]],6,FALSE)+Tabulka59121527333945[[#This Row],[ ]]</f>
        <v>133</v>
      </c>
      <c r="AK4" s="82">
        <f>VLOOKUP(Tabulka59121527333945[[#This Row],[Tým]],Tabulka591215273339[[Tým]:[Body]],2,FALSE)</f>
        <v>114</v>
      </c>
      <c r="AL4" s="92">
        <f>Tabulka59121527333945[[#This Row],[Umístění]]</f>
        <v>1</v>
      </c>
      <c r="AM4" s="15"/>
      <c r="AP4" s="1"/>
    </row>
    <row r="5" spans="1:42" ht="24.95" customHeight="1" x14ac:dyDescent="0.4">
      <c r="B5" s="6" t="s">
        <v>49</v>
      </c>
      <c r="C5" s="1">
        <f>IF(Tabulka17101325313743[[#This Row],[ ]]="","",IF(Tabulka17101325313743[[#This Row],[ ]]="NEÚČAST","",IF(OR(Tabulka17101325313743[Výsledný čas]="N",Tabulka17101325313743[Výsledný čas]="D"),$L$4-$L$5,_xlfn.RANK.EQ(Tabulka17101325313743[[#This Row],[ ]],Tabulka17101325313743[[ ]],1))))</f>
        <v>2</v>
      </c>
      <c r="D5" s="7" t="s">
        <v>22</v>
      </c>
      <c r="E5" s="342">
        <v>14.62</v>
      </c>
      <c r="F5" s="342">
        <v>15</v>
      </c>
      <c r="G5" s="237">
        <f>IF(OR(Tabulka17101325313743[[#This Row],[LP]]="N",Tabulka17101325313743[[#This Row],[PP]]="N"),"N",IF(OR(Tabulka17101325313743[[#This Row],[LP]]="D",Tabulka17101325313743[[#This Row],[PP]]="D"),"D",IF(OR(Tabulka17101325313743[[#This Row],[LP]]="NEÚČAST",Tabulka17101325313743[[#This Row],[PP]]="NEÚČAST"),"NEÚČAST",IF(OR(Tabulka17101325313743[[#This Row],[LP]]="",Tabulka17101325313743[[#This Row],[PP]]=""),"",MAX(Tabulka17101325313743[[#This Row],[LP]:[PP]])))))</f>
        <v>15</v>
      </c>
      <c r="H5" s="1">
        <f>COUNTIF(Tabulka17101325313743[[#This Row],[Tým]],"*")</f>
        <v>1</v>
      </c>
      <c r="I5" s="1">
        <f>COUNTIF(Tabulka17101325313743[[#This Row],[Výsledný čas]],"NEÚČAST")</f>
        <v>0</v>
      </c>
      <c r="J5" s="1">
        <f>IF(Tabulka17101325313743[[#This Row],[Výsledný čas]]="N",998,IF(Tabulka17101325313743[[#This Row],[Výsledný čas]]="D",998,IF(Tabulka17101325313743[[#This Row],[Výsledný čas]]="","",Tabulka17101325313743[[#This Row],[Výsledný čas]])))</f>
        <v>15</v>
      </c>
      <c r="L5" s="1">
        <f>SUM(Tabulka17101325313743[Sloupec2])</f>
        <v>0</v>
      </c>
      <c r="N5" s="30" t="s">
        <v>50</v>
      </c>
      <c r="O5" s="25">
        <f>IF(Tabulka171013630364248[[#This Row],[ ]]="","",IF(Tabulka171013630364248[[#This Row],[ ]]="NEÚČAST","",IF(OR(Tabulka171013630364248[Výsledný čas]="N",Tabulka171013630364248[Výsledný čas]="D"),$X$4-$X$5,_xlfn.RANK.EQ(Tabulka171013630364248[[#This Row],[ ]],Tabulka171013630364248[[ ]],1))))</f>
        <v>2</v>
      </c>
      <c r="P5" s="26" t="s">
        <v>22</v>
      </c>
      <c r="Q5" s="344">
        <v>16.309999999999999</v>
      </c>
      <c r="R5" s="344">
        <v>18.12</v>
      </c>
      <c r="S5" s="25">
        <f>IF(OR(Tabulka171013630364248[[#This Row],[LP]]="N",Tabulka171013630364248[[#This Row],[PP]]="N"),"N",IF(OR(Tabulka171013630364248[[#This Row],[LP]]="D",Tabulka171013630364248[[#This Row],[PP]]="D"),"D",IF(OR(Tabulka171013630364248[[#This Row],[LP]]="NEÚČAST",Tabulka171013630364248[[#This Row],[PP]]="NEÚČAST"),"NEÚČAST",IF(OR(Tabulka171013630364248[[#This Row],[LP]]="",Tabulka171013630364248[[#This Row],[PP]]=""),"",MAX(Tabulka171013630364248[[#This Row],[LP]:[PP]])))))</f>
        <v>18.12</v>
      </c>
      <c r="T5" s="46">
        <f>COUNTIF(Tabulka171013630364248[[#This Row],[Tým]],"*")</f>
        <v>1</v>
      </c>
      <c r="U5" s="46">
        <f>COUNTIF(Tabulka171013630364248[[#This Row],[Výsledný čas]],"NEÚČAST")</f>
        <v>0</v>
      </c>
      <c r="V5" s="29">
        <f>IF(Tabulka171013630364248[[#This Row],[Výsledný čas]]="N",998,IF(Tabulka171013630364248[[#This Row],[Výsledný čas]]="D",998,IF(Tabulka171013630364248[[#This Row],[Výsledný čas]]="","",Tabulka171013630364248[[#This Row],[Výsledný čas]])))</f>
        <v>18.12</v>
      </c>
      <c r="X5" s="1">
        <f>SUM(Tabulka171013630364248[Sloupec2])</f>
        <v>0</v>
      </c>
      <c r="Y5" s="15"/>
      <c r="Z5" s="31">
        <f>IF(OR(Tabulka38111426323844[Výsledný čas]="N",Tabulka38111426323844[Výsledný čas]="D",Tabulka38111426323844[Výsledný čas]="NEÚČAST"),Uvod!$E$4,_xlfn.RANK.EQ(Tabulka38111426323844[[#This Row],[ ]],Tabulka38111426323844[[ ]],1))</f>
        <v>2</v>
      </c>
      <c r="AA5" s="51" t="s">
        <v>22</v>
      </c>
      <c r="AB5" s="348">
        <f>VLOOKUP(Tabulka38111426323844[[#This Row],[Tým]],Tabulka17101325313743[[Tým]:[ ]],2,FALSE)</f>
        <v>14.62</v>
      </c>
      <c r="AC5" s="348">
        <f>VLOOKUP(Tabulka38111426323844[[#This Row],[Tým]],Tabulka17101325313743[[Tým]:[ ]],3,FALSE)</f>
        <v>15</v>
      </c>
      <c r="AD5" s="348">
        <f>VLOOKUP(Tabulka38111426323844[[#This Row],[Tým]],Tabulka17101325313743[[Tým]:[ ]],4,FALSE)</f>
        <v>15</v>
      </c>
      <c r="AE5" s="25">
        <f>VLOOKUP(Tabulka38111426323844[[#This Row],[Tým]],Tabulka17101325313743[[Tým]:[ ]],7,FALSE)</f>
        <v>15</v>
      </c>
      <c r="AF5" s="29">
        <f>IF(Tabulka38111426323844[[#This Row],[Výsledný čas]]="N",5,IF(Tabulka38111426323844[[#This Row],[Výsledný čas]]="D",0,IF(Tabulka38111426323844[[#This Row],[Výsledný čas]]="NEÚČAST",0,Tabulka4[[#Totals],[Týmy muži]]+6-Tabulka38111426323844[[#This Row],[Umístění]])))</f>
        <v>23</v>
      </c>
      <c r="AH5" s="31">
        <f>_xlfn.RANK.EQ(Tabulka59121527333945[[#This Row],[Body]],Tabulka59121527333945[Body],0)</f>
        <v>2</v>
      </c>
      <c r="AI5" s="51" t="s">
        <v>23</v>
      </c>
      <c r="AJ5" s="29">
        <f>VLOOKUP(Tabulka59121527333945[[#This Row],[Tým]],Tabulka38111426323844[[Tým]:[Body]],6,FALSE)+Tabulka59121527333945[[#This Row],[ ]]</f>
        <v>120</v>
      </c>
      <c r="AK5" s="82">
        <f>VLOOKUP(Tabulka59121527333945[[#This Row],[Tým]],Tabulka591215273339[[Tým]:[Body]],2,FALSE)</f>
        <v>102</v>
      </c>
      <c r="AL5" s="47">
        <f>Tabulka59121527333945[[#This Row],[Umístění]]</f>
        <v>2</v>
      </c>
      <c r="AM5" s="15"/>
      <c r="AP5" s="1"/>
    </row>
    <row r="6" spans="1:42" ht="24.95" customHeight="1" x14ac:dyDescent="0.4">
      <c r="B6" s="6" t="s">
        <v>48</v>
      </c>
      <c r="C6" s="1">
        <f>IF(Tabulka17101325313743[[#This Row],[ ]]="","",IF(Tabulka17101325313743[[#This Row],[ ]]="NEÚČAST","",IF(OR(Tabulka17101325313743[Výsledný čas]="N",Tabulka17101325313743[Výsledný čas]="D"),$L$4-$L$5,_xlfn.RANK.EQ(Tabulka17101325313743[[#This Row],[ ]],Tabulka17101325313743[[ ]],1))))</f>
        <v>3</v>
      </c>
      <c r="D6" s="7" t="s">
        <v>18</v>
      </c>
      <c r="E6" s="342">
        <v>15.12</v>
      </c>
      <c r="F6" s="342">
        <v>15.31</v>
      </c>
      <c r="G6" s="237">
        <f>IF(OR(Tabulka17101325313743[[#This Row],[LP]]="N",Tabulka17101325313743[[#This Row],[PP]]="N"),"N",IF(OR(Tabulka17101325313743[[#This Row],[LP]]="D",Tabulka17101325313743[[#This Row],[PP]]="D"),"D",IF(OR(Tabulka17101325313743[[#This Row],[LP]]="NEÚČAST",Tabulka17101325313743[[#This Row],[PP]]="NEÚČAST"),"NEÚČAST",IF(OR(Tabulka17101325313743[[#This Row],[LP]]="",Tabulka17101325313743[[#This Row],[PP]]=""),"",MAX(Tabulka17101325313743[[#This Row],[LP]:[PP]])))))</f>
        <v>15.31</v>
      </c>
      <c r="H6" s="1">
        <f>COUNTIF(Tabulka17101325313743[[#This Row],[Tým]],"*")</f>
        <v>1</v>
      </c>
      <c r="I6" s="1">
        <f>COUNTIF(Tabulka17101325313743[[#This Row],[Výsledný čas]],"NEÚČAST")</f>
        <v>0</v>
      </c>
      <c r="J6" s="1">
        <f>IF(Tabulka17101325313743[[#This Row],[Výsledný čas]]="N",998,IF(Tabulka17101325313743[[#This Row],[Výsledný čas]]="D",998,IF(Tabulka17101325313743[[#This Row],[Výsledný čas]]="","",Tabulka17101325313743[[#This Row],[Výsledný čas]])))</f>
        <v>15.31</v>
      </c>
      <c r="N6" s="30" t="s">
        <v>55</v>
      </c>
      <c r="O6" s="25">
        <f>IF(Tabulka171013630364248[[#This Row],[ ]]="","",IF(Tabulka171013630364248[[#This Row],[ ]]="NEÚČAST","",IF(OR(Tabulka171013630364248[Výsledný čas]="N",Tabulka171013630364248[Výsledný čas]="D"),$X$4-$X$5,_xlfn.RANK.EQ(Tabulka171013630364248[[#This Row],[ ]],Tabulka171013630364248[[ ]],1))))</f>
        <v>3</v>
      </c>
      <c r="P6" s="26" t="s">
        <v>16</v>
      </c>
      <c r="Q6" s="344">
        <v>19.489999999999998</v>
      </c>
      <c r="R6" s="344">
        <v>19.48</v>
      </c>
      <c r="S6" s="25">
        <f>IF(OR(Tabulka171013630364248[[#This Row],[LP]]="N",Tabulka171013630364248[[#This Row],[PP]]="N"),"N",IF(OR(Tabulka171013630364248[[#This Row],[LP]]="D",Tabulka171013630364248[[#This Row],[PP]]="D"),"D",IF(OR(Tabulka171013630364248[[#This Row],[LP]]="NEÚČAST",Tabulka171013630364248[[#This Row],[PP]]="NEÚČAST"),"NEÚČAST",IF(OR(Tabulka171013630364248[[#This Row],[LP]]="",Tabulka171013630364248[[#This Row],[PP]]=""),"",MAX(Tabulka171013630364248[[#This Row],[LP]:[PP]])))))</f>
        <v>19.489999999999998</v>
      </c>
      <c r="T6" s="46">
        <f>COUNTIF(Tabulka171013630364248[[#This Row],[Tým]],"*")</f>
        <v>1</v>
      </c>
      <c r="U6" s="46">
        <f>COUNTIF(Tabulka171013630364248[[#This Row],[Výsledný čas]],"NEÚČAST")</f>
        <v>0</v>
      </c>
      <c r="V6" s="29">
        <f>IF(Tabulka171013630364248[[#This Row],[Výsledný čas]]="N",998,IF(Tabulka171013630364248[[#This Row],[Výsledný čas]]="D",998,IF(Tabulka171013630364248[[#This Row],[Výsledný čas]]="","",Tabulka171013630364248[[#This Row],[Výsledný čas]])))</f>
        <v>19.489999999999998</v>
      </c>
      <c r="Y6" s="15"/>
      <c r="Z6" s="31">
        <f>IF(OR(Tabulka38111426323844[Výsledný čas]="N",Tabulka38111426323844[Výsledný čas]="D",Tabulka38111426323844[Výsledný čas]="NEÚČAST"),Uvod!$E$4,_xlfn.RANK.EQ(Tabulka38111426323844[[#This Row],[ ]],Tabulka38111426323844[[ ]],1))</f>
        <v>3</v>
      </c>
      <c r="AA6" s="51" t="s">
        <v>18</v>
      </c>
      <c r="AB6" s="348">
        <f>VLOOKUP(Tabulka38111426323844[[#This Row],[Tým]],Tabulka17101325313743[[Tým]:[ ]],2,FALSE)</f>
        <v>15.12</v>
      </c>
      <c r="AC6" s="348">
        <f>VLOOKUP(Tabulka38111426323844[[#This Row],[Tým]],Tabulka17101325313743[[Tým]:[ ]],3,FALSE)</f>
        <v>15.31</v>
      </c>
      <c r="AD6" s="348">
        <f>VLOOKUP(Tabulka38111426323844[[#This Row],[Tým]],Tabulka17101325313743[[Tým]:[ ]],4,FALSE)</f>
        <v>15.31</v>
      </c>
      <c r="AE6" s="25">
        <f>VLOOKUP(Tabulka38111426323844[[#This Row],[Tým]],Tabulka17101325313743[[Tým]:[ ]],7,FALSE)</f>
        <v>15.31</v>
      </c>
      <c r="AF6" s="29">
        <f>IF(Tabulka38111426323844[[#This Row],[Výsledný čas]]="N",5,IF(Tabulka38111426323844[[#This Row],[Výsledný čas]]="D",0,IF(Tabulka38111426323844[[#This Row],[Výsledný čas]]="NEÚČAST",0,Tabulka4[[#Totals],[Týmy muži]]+6-Tabulka38111426323844[[#This Row],[Umístění]])))</f>
        <v>22</v>
      </c>
      <c r="AH6" s="31">
        <f>_xlfn.RANK.EQ(Tabulka59121527333945[[#This Row],[Body]],Tabulka59121527333945[Body],0)</f>
        <v>3</v>
      </c>
      <c r="AI6" s="51" t="s">
        <v>30</v>
      </c>
      <c r="AJ6" s="29">
        <f>VLOOKUP(Tabulka59121527333945[[#This Row],[Tým]],Tabulka38111426323844[[Tým]:[Body]],6,FALSE)+Tabulka59121527333945[[#This Row],[ ]]</f>
        <v>115</v>
      </c>
      <c r="AK6" s="82">
        <f>VLOOKUP(Tabulka59121527333945[[#This Row],[Tým]],Tabulka591215273339[[Tým]:[Body]],2,FALSE)</f>
        <v>91</v>
      </c>
      <c r="AL6" s="47">
        <f>Tabulka59121527333945[[#This Row],[Umístění]]</f>
        <v>3</v>
      </c>
      <c r="AM6" s="15"/>
      <c r="AP6" s="1"/>
    </row>
    <row r="7" spans="1:42" ht="24.95" customHeight="1" x14ac:dyDescent="0.4">
      <c r="B7" s="6" t="s">
        <v>67</v>
      </c>
      <c r="C7" s="1">
        <f>IF(Tabulka17101325313743[[#This Row],[ ]]="","",IF(Tabulka17101325313743[[#This Row],[ ]]="NEÚČAST","",IF(OR(Tabulka17101325313743[Výsledný čas]="N",Tabulka17101325313743[Výsledný čas]="D"),$L$4-$L$5,_xlfn.RANK.EQ(Tabulka17101325313743[[#This Row],[ ]],Tabulka17101325313743[[ ]],1))))</f>
        <v>4</v>
      </c>
      <c r="D7" s="10" t="s">
        <v>20</v>
      </c>
      <c r="E7" s="342">
        <v>15.08</v>
      </c>
      <c r="F7" s="342">
        <v>15.32</v>
      </c>
      <c r="G7" s="237">
        <f>IF(OR(Tabulka17101325313743[[#This Row],[LP]]="N",Tabulka17101325313743[[#This Row],[PP]]="N"),"N",IF(OR(Tabulka17101325313743[[#This Row],[LP]]="D",Tabulka17101325313743[[#This Row],[PP]]="D"),"D",IF(OR(Tabulka17101325313743[[#This Row],[LP]]="NEÚČAST",Tabulka17101325313743[[#This Row],[PP]]="NEÚČAST"),"NEÚČAST",IF(OR(Tabulka17101325313743[[#This Row],[LP]]="",Tabulka17101325313743[[#This Row],[PP]]=""),"",MAX(Tabulka17101325313743[[#This Row],[LP]:[PP]])))))</f>
        <v>15.32</v>
      </c>
      <c r="H7" s="1">
        <f>COUNTIF(Tabulka17101325313743[[#This Row],[Tým]],"*")</f>
        <v>1</v>
      </c>
      <c r="I7" s="1">
        <f>COUNTIF(Tabulka17101325313743[[#This Row],[Výsledný čas]],"NEÚČAST")</f>
        <v>0</v>
      </c>
      <c r="J7" s="1">
        <f>IF(Tabulka17101325313743[[#This Row],[Výsledný čas]]="N",998,IF(Tabulka17101325313743[[#This Row],[Výsledný čas]]="D",998,IF(Tabulka17101325313743[[#This Row],[Výsledný čas]]="","",Tabulka17101325313743[[#This Row],[Výsledný čas]])))</f>
        <v>15.32</v>
      </c>
      <c r="N7" s="31" t="s">
        <v>101</v>
      </c>
      <c r="O7" s="25">
        <f>IF(Tabulka171013630364248[[#This Row],[ ]]="","",IF(Tabulka171013630364248[[#This Row],[ ]]="NEÚČAST","",IF(OR(Tabulka171013630364248[Výsledný čas]="N",Tabulka171013630364248[Výsledný čas]="D"),$X$4-$X$5,_xlfn.RANK.EQ(Tabulka171013630364248[[#This Row],[ ]],Tabulka171013630364248[[ ]],1))))</f>
        <v>4</v>
      </c>
      <c r="P7" s="26" t="s">
        <v>36</v>
      </c>
      <c r="Q7" s="344">
        <v>19.95</v>
      </c>
      <c r="R7" s="344">
        <v>19.96</v>
      </c>
      <c r="S7" s="25">
        <f>IF(OR(Tabulka171013630364248[[#This Row],[LP]]="N",Tabulka171013630364248[[#This Row],[PP]]="N"),"N",IF(OR(Tabulka171013630364248[[#This Row],[LP]]="D",Tabulka171013630364248[[#This Row],[PP]]="D"),"D",IF(OR(Tabulka171013630364248[[#This Row],[LP]]="NEÚČAST",Tabulka171013630364248[[#This Row],[PP]]="NEÚČAST"),"NEÚČAST",IF(OR(Tabulka171013630364248[[#This Row],[LP]]="",Tabulka171013630364248[[#This Row],[PP]]=""),"",MAX(Tabulka171013630364248[[#This Row],[LP]:[PP]])))))</f>
        <v>19.96</v>
      </c>
      <c r="T7" s="46">
        <f>COUNTIF(Tabulka171013630364248[[#This Row],[Tým]],"*")</f>
        <v>1</v>
      </c>
      <c r="U7" s="46">
        <f>COUNTIF(Tabulka171013630364248[[#This Row],[Výsledný čas]],"NEÚČAST")</f>
        <v>0</v>
      </c>
      <c r="V7" s="29">
        <f>IF(Tabulka171013630364248[[#This Row],[Výsledný čas]]="N",998,IF(Tabulka171013630364248[[#This Row],[Výsledný čas]]="D",998,IF(Tabulka171013630364248[[#This Row],[Výsledný čas]]="","",Tabulka171013630364248[[#This Row],[Výsledný čas]])))</f>
        <v>19.96</v>
      </c>
      <c r="Y7" s="15"/>
      <c r="Z7" s="31">
        <f>IF(OR(Tabulka38111426323844[Výsledný čas]="N",Tabulka38111426323844[Výsledný čas]="D",Tabulka38111426323844[Výsledný čas]="NEÚČAST"),Uvod!$E$4,_xlfn.RANK.EQ(Tabulka38111426323844[[#This Row],[ ]],Tabulka38111426323844[[ ]],1))</f>
        <v>4</v>
      </c>
      <c r="AA7" s="51" t="s">
        <v>20</v>
      </c>
      <c r="AB7" s="348">
        <f>VLOOKUP(Tabulka38111426323844[[#This Row],[Tým]],Tabulka17101325313743[[Tým]:[ ]],2,FALSE)</f>
        <v>15.08</v>
      </c>
      <c r="AC7" s="348">
        <f>VLOOKUP(Tabulka38111426323844[[#This Row],[Tým]],Tabulka17101325313743[[Tým]:[ ]],3,FALSE)</f>
        <v>15.32</v>
      </c>
      <c r="AD7" s="348">
        <f>VLOOKUP(Tabulka38111426323844[[#This Row],[Tým]],Tabulka17101325313743[[Tým]:[ ]],4,FALSE)</f>
        <v>15.32</v>
      </c>
      <c r="AE7" s="25">
        <f>VLOOKUP(Tabulka38111426323844[[#This Row],[Tým]],Tabulka17101325313743[[Tým]:[ ]],7,FALSE)</f>
        <v>15.32</v>
      </c>
      <c r="AF7" s="29">
        <f>IF(Tabulka38111426323844[[#This Row],[Výsledný čas]]="N",5,IF(Tabulka38111426323844[[#This Row],[Výsledný čas]]="D",0,IF(Tabulka38111426323844[[#This Row],[Výsledný čas]]="NEÚČAST",0,Tabulka4[[#Totals],[Týmy muži]]+6-Tabulka38111426323844[[#This Row],[Umístění]])))</f>
        <v>21</v>
      </c>
      <c r="AH7" s="31">
        <f>_xlfn.RANK.EQ(Tabulka59121527333945[[#This Row],[Body]],Tabulka59121527333945[Body],0)</f>
        <v>3</v>
      </c>
      <c r="AI7" s="51" t="s">
        <v>10</v>
      </c>
      <c r="AJ7" s="29">
        <f>VLOOKUP(Tabulka59121527333945[[#This Row],[Tým]],Tabulka38111426323844[[Tým]:[Body]],6,FALSE)+Tabulka59121527333945[[#This Row],[ ]]</f>
        <v>115</v>
      </c>
      <c r="AK7" s="82">
        <f>VLOOKUP(Tabulka59121527333945[[#This Row],[Tým]],Tabulka591215273339[[Tým]:[Body]],2,FALSE)</f>
        <v>99</v>
      </c>
      <c r="AL7" s="47">
        <f>Tabulka59121527333945[[#This Row],[Umístění]]</f>
        <v>3</v>
      </c>
      <c r="AM7" s="15"/>
      <c r="AP7" s="1"/>
    </row>
    <row r="8" spans="1:42" ht="24.95" customHeight="1" x14ac:dyDescent="0.4">
      <c r="B8" s="6" t="s">
        <v>41</v>
      </c>
      <c r="C8" s="1">
        <f>IF(Tabulka17101325313743[[#This Row],[ ]]="","",IF(Tabulka17101325313743[[#This Row],[ ]]="NEÚČAST","",IF(OR(Tabulka17101325313743[Výsledný čas]="N",Tabulka17101325313743[Výsledný čas]="D"),$L$4-$L$5,_xlfn.RANK.EQ(Tabulka17101325313743[[#This Row],[ ]],Tabulka17101325313743[[ ]],1))))</f>
        <v>5</v>
      </c>
      <c r="D8" s="7" t="s">
        <v>16</v>
      </c>
      <c r="E8" s="342">
        <v>15.66</v>
      </c>
      <c r="F8" s="342">
        <v>14.96</v>
      </c>
      <c r="G8" s="237">
        <f>IF(OR(Tabulka17101325313743[[#This Row],[LP]]="N",Tabulka17101325313743[[#This Row],[PP]]="N"),"N",IF(OR(Tabulka17101325313743[[#This Row],[LP]]="D",Tabulka17101325313743[[#This Row],[PP]]="D"),"D",IF(OR(Tabulka17101325313743[[#This Row],[LP]]="NEÚČAST",Tabulka17101325313743[[#This Row],[PP]]="NEÚČAST"),"NEÚČAST",IF(OR(Tabulka17101325313743[[#This Row],[LP]]="",Tabulka17101325313743[[#This Row],[PP]]=""),"",MAX(Tabulka17101325313743[[#This Row],[LP]:[PP]])))))</f>
        <v>15.66</v>
      </c>
      <c r="H8" s="1">
        <f>COUNTIF(Tabulka17101325313743[[#This Row],[Tým]],"*")</f>
        <v>1</v>
      </c>
      <c r="I8" s="1">
        <f>COUNTIF(Tabulka17101325313743[[#This Row],[Výsledný čas]],"NEÚČAST")</f>
        <v>0</v>
      </c>
      <c r="J8" s="1">
        <f>IF(Tabulka17101325313743[[#This Row],[Výsledný čas]]="N",998,IF(Tabulka17101325313743[[#This Row],[Výsledný čas]]="D",998,IF(Tabulka17101325313743[[#This Row],[Výsledný čas]]="","",Tabulka17101325313743[[#This Row],[Výsledný čas]])))</f>
        <v>15.66</v>
      </c>
      <c r="N8" s="31" t="s">
        <v>51</v>
      </c>
      <c r="O8" s="25">
        <f>IF(Tabulka171013630364248[[#This Row],[ ]]="","",IF(Tabulka171013630364248[[#This Row],[ ]]="NEÚČAST","",IF(OR(Tabulka171013630364248[Výsledný čas]="N",Tabulka171013630364248[Výsledný čas]="D"),$X$4-$X$5,_xlfn.RANK.EQ(Tabulka171013630364248[[#This Row],[ ]],Tabulka171013630364248[[ ]],1))))</f>
        <v>5</v>
      </c>
      <c r="P8" s="26" t="s">
        <v>23</v>
      </c>
      <c r="Q8" s="344">
        <v>19.489999999999998</v>
      </c>
      <c r="R8" s="344">
        <v>20.260000000000002</v>
      </c>
      <c r="S8" s="25">
        <f>IF(OR(Tabulka171013630364248[[#This Row],[LP]]="N",Tabulka171013630364248[[#This Row],[PP]]="N"),"N",IF(OR(Tabulka171013630364248[[#This Row],[LP]]="D",Tabulka171013630364248[[#This Row],[PP]]="D"),"D",IF(OR(Tabulka171013630364248[[#This Row],[LP]]="NEÚČAST",Tabulka171013630364248[[#This Row],[PP]]="NEÚČAST"),"NEÚČAST",IF(OR(Tabulka171013630364248[[#This Row],[LP]]="",Tabulka171013630364248[[#This Row],[PP]]=""),"",MAX(Tabulka171013630364248[[#This Row],[LP]:[PP]])))))</f>
        <v>20.260000000000002</v>
      </c>
      <c r="T8" s="46">
        <f>COUNTIF(Tabulka171013630364248[[#This Row],[Tým]],"*")</f>
        <v>1</v>
      </c>
      <c r="U8" s="46">
        <f>COUNTIF(Tabulka171013630364248[[#This Row],[Výsledný čas]],"NEÚČAST")</f>
        <v>0</v>
      </c>
      <c r="V8" s="29">
        <f>IF(Tabulka171013630364248[[#This Row],[Výsledný čas]]="N",998,IF(Tabulka171013630364248[[#This Row],[Výsledný čas]]="D",998,IF(Tabulka171013630364248[[#This Row],[Výsledný čas]]="","",Tabulka171013630364248[[#This Row],[Výsledný čas]])))</f>
        <v>20.260000000000002</v>
      </c>
      <c r="Y8" s="15"/>
      <c r="Z8" s="31">
        <f>IF(OR(Tabulka38111426323844[Výsledný čas]="N",Tabulka38111426323844[Výsledný čas]="D",Tabulka38111426323844[Výsledný čas]="NEÚČAST"),Uvod!$E$4,_xlfn.RANK.EQ(Tabulka38111426323844[[#This Row],[ ]],Tabulka38111426323844[[ ]],1))</f>
        <v>5</v>
      </c>
      <c r="AA8" s="51" t="s">
        <v>16</v>
      </c>
      <c r="AB8" s="348">
        <f>VLOOKUP(Tabulka38111426323844[[#This Row],[Tým]],Tabulka17101325313743[[Tým]:[ ]],2,FALSE)</f>
        <v>15.66</v>
      </c>
      <c r="AC8" s="348">
        <f>VLOOKUP(Tabulka38111426323844[[#This Row],[Tým]],Tabulka17101325313743[[Tým]:[ ]],3,FALSE)</f>
        <v>14.96</v>
      </c>
      <c r="AD8" s="348">
        <f>VLOOKUP(Tabulka38111426323844[[#This Row],[Tým]],Tabulka17101325313743[[Tým]:[ ]],4,FALSE)</f>
        <v>15.66</v>
      </c>
      <c r="AE8" s="25">
        <f>VLOOKUP(Tabulka38111426323844[[#This Row],[Tým]],Tabulka17101325313743[[Tým]:[ ]],7,FALSE)</f>
        <v>15.66</v>
      </c>
      <c r="AF8" s="29">
        <f>IF(Tabulka38111426323844[[#This Row],[Výsledný čas]]="N",5,IF(Tabulka38111426323844[[#This Row],[Výsledný čas]]="D",0,IF(Tabulka38111426323844[[#This Row],[Výsledný čas]]="NEÚČAST",0,Tabulka4[[#Totals],[Týmy muži]]+6-Tabulka38111426323844[[#This Row],[Umístění]])))</f>
        <v>20</v>
      </c>
      <c r="AH8" s="31">
        <f>_xlfn.RANK.EQ(Tabulka59121527333945[[#This Row],[Body]],Tabulka59121527333945[Body],0)</f>
        <v>5</v>
      </c>
      <c r="AI8" s="51" t="s">
        <v>22</v>
      </c>
      <c r="AJ8" s="29">
        <f>VLOOKUP(Tabulka59121527333945[[#This Row],[Tým]],Tabulka38111426323844[[Tým]:[Body]],6,FALSE)+Tabulka59121527333945[[#This Row],[ ]]</f>
        <v>111</v>
      </c>
      <c r="AK8" s="82">
        <f>VLOOKUP(Tabulka59121527333945[[#This Row],[Tým]],Tabulka591215273339[[Tým]:[Body]],2,FALSE)</f>
        <v>88</v>
      </c>
      <c r="AL8" s="47">
        <f>Tabulka59121527333945[[#This Row],[Umístění]]</f>
        <v>5</v>
      </c>
      <c r="AM8" s="15"/>
      <c r="AP8" s="1"/>
    </row>
    <row r="9" spans="1:42" ht="24.95" customHeight="1" x14ac:dyDescent="0.4">
      <c r="B9" s="11" t="s">
        <v>57</v>
      </c>
      <c r="C9" s="1">
        <f>IF(Tabulka17101325313743[[#This Row],[ ]]="","",IF(Tabulka17101325313743[[#This Row],[ ]]="NEÚČAST","",IF(OR(Tabulka17101325313743[Výsledný čas]="N",Tabulka17101325313743[Výsledný čas]="D"),$L$4-$L$5,_xlfn.RANK.EQ(Tabulka17101325313743[[#This Row],[ ]],Tabulka17101325313743[[ ]],1))))</f>
        <v>6</v>
      </c>
      <c r="D9" s="7" t="s">
        <v>150</v>
      </c>
      <c r="E9" s="342">
        <v>15.27</v>
      </c>
      <c r="F9" s="342">
        <v>15.69</v>
      </c>
      <c r="G9" s="237">
        <f>IF(OR(Tabulka17101325313743[[#This Row],[LP]]="N",Tabulka17101325313743[[#This Row],[PP]]="N"),"N",IF(OR(Tabulka17101325313743[[#This Row],[LP]]="D",Tabulka17101325313743[[#This Row],[PP]]="D"),"D",IF(OR(Tabulka17101325313743[[#This Row],[LP]]="NEÚČAST",Tabulka17101325313743[[#This Row],[PP]]="NEÚČAST"),"NEÚČAST",IF(OR(Tabulka17101325313743[[#This Row],[LP]]="",Tabulka17101325313743[[#This Row],[PP]]=""),"",MAX(Tabulka17101325313743[[#This Row],[LP]:[PP]])))))</f>
        <v>15.69</v>
      </c>
      <c r="H9" s="1">
        <f>COUNTIF(Tabulka17101325313743[[#This Row],[Tým]],"*")</f>
        <v>1</v>
      </c>
      <c r="I9" s="1">
        <f>COUNTIF(Tabulka17101325313743[[#This Row],[Výsledný čas]],"NEÚČAST")</f>
        <v>0</v>
      </c>
      <c r="J9" s="1">
        <f>IF(Tabulka17101325313743[[#This Row],[Výsledný čas]]="N",998,IF(Tabulka17101325313743[[#This Row],[Výsledný čas]]="D",998,IF(Tabulka17101325313743[[#This Row],[Výsledný čas]]="","",Tabulka17101325313743[[#This Row],[Výsledný čas]])))</f>
        <v>15.69</v>
      </c>
      <c r="N9" s="30" t="s">
        <v>68</v>
      </c>
      <c r="O9" s="25">
        <f>IF(Tabulka171013630364248[[#This Row],[ ]]="","",IF(Tabulka171013630364248[[#This Row],[ ]]="NEÚČAST","",IF(OR(Tabulka171013630364248[Výsledný čas]="N",Tabulka171013630364248[Výsledný čas]="D"),$X$4-$X$5,_xlfn.RANK.EQ(Tabulka171013630364248[[#This Row],[ ]],Tabulka171013630364248[[ ]],1))))</f>
        <v>6</v>
      </c>
      <c r="P9" s="26" t="s">
        <v>19</v>
      </c>
      <c r="Q9" s="344">
        <v>19.2</v>
      </c>
      <c r="R9" s="344">
        <v>20.78</v>
      </c>
      <c r="S9" s="25">
        <f>IF(OR(Tabulka171013630364248[[#This Row],[LP]]="N",Tabulka171013630364248[[#This Row],[PP]]="N"),"N",IF(OR(Tabulka171013630364248[[#This Row],[LP]]="D",Tabulka171013630364248[[#This Row],[PP]]="D"),"D",IF(OR(Tabulka171013630364248[[#This Row],[LP]]="NEÚČAST",Tabulka171013630364248[[#This Row],[PP]]="NEÚČAST"),"NEÚČAST",IF(OR(Tabulka171013630364248[[#This Row],[LP]]="",Tabulka171013630364248[[#This Row],[PP]]=""),"",MAX(Tabulka171013630364248[[#This Row],[LP]:[PP]])))))</f>
        <v>20.78</v>
      </c>
      <c r="T9" s="46">
        <f>COUNTIF(Tabulka171013630364248[[#This Row],[Tým]],"*")</f>
        <v>1</v>
      </c>
      <c r="U9" s="46">
        <f>COUNTIF(Tabulka171013630364248[[#This Row],[Výsledný čas]],"NEÚČAST")</f>
        <v>0</v>
      </c>
      <c r="V9" s="29">
        <f>IF(Tabulka171013630364248[[#This Row],[Výsledný čas]]="N",998,IF(Tabulka171013630364248[[#This Row],[Výsledný čas]]="D",998,IF(Tabulka171013630364248[[#This Row],[Výsledný čas]]="","",Tabulka171013630364248[[#This Row],[Výsledný čas]])))</f>
        <v>20.78</v>
      </c>
      <c r="Y9" s="15"/>
      <c r="Z9" s="31">
        <f>IF(OR(Tabulka38111426323844[Výsledný čas]="N",Tabulka38111426323844[Výsledný čas]="D",Tabulka38111426323844[Výsledný čas]="NEÚČAST"),Uvod!$E$4,_xlfn.RANK.EQ(Tabulka38111426323844[[#This Row],[ ]],Tabulka38111426323844[[ ]],1))</f>
        <v>6</v>
      </c>
      <c r="AA9" s="51" t="s">
        <v>19</v>
      </c>
      <c r="AB9" s="348">
        <f>VLOOKUP(Tabulka38111426323844[[#This Row],[Tým]],Tabulka17101325313743[[Tým]:[ ]],2,FALSE)</f>
        <v>15.86</v>
      </c>
      <c r="AC9" s="348">
        <f>VLOOKUP(Tabulka38111426323844[[#This Row],[Tým]],Tabulka17101325313743[[Tým]:[ ]],3,FALSE)</f>
        <v>15.54</v>
      </c>
      <c r="AD9" s="348">
        <f>VLOOKUP(Tabulka38111426323844[[#This Row],[Tým]],Tabulka17101325313743[[Tým]:[ ]],4,FALSE)</f>
        <v>15.86</v>
      </c>
      <c r="AE9" s="25">
        <f>VLOOKUP(Tabulka38111426323844[[#This Row],[Tým]],Tabulka17101325313743[[Tým]:[ ]],7,FALSE)</f>
        <v>15.86</v>
      </c>
      <c r="AF9" s="29">
        <f>IF(Tabulka38111426323844[[#This Row],[Výsledný čas]]="N",5,IF(Tabulka38111426323844[[#This Row],[Výsledný čas]]="D",0,IF(Tabulka38111426323844[[#This Row],[Výsledný čas]]="NEÚČAST",0,Tabulka4[[#Totals],[Týmy muži]]+6-Tabulka38111426323844[[#This Row],[Umístění]])))</f>
        <v>19</v>
      </c>
      <c r="AH9" s="31">
        <f>_xlfn.RANK.EQ(Tabulka59121527333945[[#This Row],[Body]],Tabulka59121527333945[Body],0)</f>
        <v>6</v>
      </c>
      <c r="AI9" s="51" t="s">
        <v>20</v>
      </c>
      <c r="AJ9" s="29">
        <f>VLOOKUP(Tabulka59121527333945[[#This Row],[Tým]],Tabulka38111426323844[[Tým]:[Body]],6,FALSE)+Tabulka59121527333945[[#This Row],[ ]]</f>
        <v>108</v>
      </c>
      <c r="AK9" s="82">
        <f>VLOOKUP(Tabulka59121527333945[[#This Row],[Tým]],Tabulka591215273339[[Tým]:[Body]],2,FALSE)</f>
        <v>87</v>
      </c>
      <c r="AL9" s="47">
        <f>Tabulka59121527333945[[#This Row],[Umístění]]</f>
        <v>6</v>
      </c>
      <c r="AM9" s="15"/>
      <c r="AP9" s="1"/>
    </row>
    <row r="10" spans="1:42" ht="24.95" customHeight="1" x14ac:dyDescent="0.4">
      <c r="B10" s="6" t="s">
        <v>65</v>
      </c>
      <c r="C10" s="1">
        <f>IF(Tabulka17101325313743[[#This Row],[ ]]="","",IF(Tabulka17101325313743[[#This Row],[ ]]="NEÚČAST","",IF(OR(Tabulka17101325313743[Výsledný čas]="N",Tabulka17101325313743[Výsledný čas]="D"),$L$4-$L$5,_xlfn.RANK.EQ(Tabulka17101325313743[[#This Row],[ ]],Tabulka17101325313743[[ ]],1))))</f>
        <v>7</v>
      </c>
      <c r="D10" s="7" t="s">
        <v>19</v>
      </c>
      <c r="E10" s="342">
        <v>15.86</v>
      </c>
      <c r="F10" s="342">
        <v>15.54</v>
      </c>
      <c r="G10" s="237">
        <f>IF(OR(Tabulka17101325313743[[#This Row],[LP]]="N",Tabulka17101325313743[[#This Row],[PP]]="N"),"N",IF(OR(Tabulka17101325313743[[#This Row],[LP]]="D",Tabulka17101325313743[[#This Row],[PP]]="D"),"D",IF(OR(Tabulka17101325313743[[#This Row],[LP]]="NEÚČAST",Tabulka17101325313743[[#This Row],[PP]]="NEÚČAST"),"NEÚČAST",IF(OR(Tabulka17101325313743[[#This Row],[LP]]="",Tabulka17101325313743[[#This Row],[PP]]=""),"",MAX(Tabulka17101325313743[[#This Row],[LP]:[PP]])))))</f>
        <v>15.86</v>
      </c>
      <c r="H10" s="1">
        <f>COUNTIF(Tabulka17101325313743[[#This Row],[Tým]],"*")</f>
        <v>1</v>
      </c>
      <c r="I10" s="1">
        <f>COUNTIF(Tabulka17101325313743[[#This Row],[Výsledný čas]],"NEÚČAST")</f>
        <v>0</v>
      </c>
      <c r="J10" s="1">
        <f>IF(Tabulka17101325313743[[#This Row],[Výsledný čas]]="N",998,IF(Tabulka17101325313743[[#This Row],[Výsledný čas]]="D",998,IF(Tabulka17101325313743[[#This Row],[Výsledný čas]]="","",Tabulka17101325313743[[#This Row],[Výsledný čas]])))</f>
        <v>15.86</v>
      </c>
      <c r="N10" s="30" t="s">
        <v>100</v>
      </c>
      <c r="O10" s="25">
        <f>IF(Tabulka171013630364248[[#This Row],[ ]]="","",IF(Tabulka171013630364248[[#This Row],[ ]]="NEÚČAST","",IF(OR(Tabulka171013630364248[Výsledný čas]="N",Tabulka171013630364248[Výsledný čas]="D"),$X$4-$X$5,_xlfn.RANK.EQ(Tabulka171013630364248[[#This Row],[ ]],Tabulka171013630364248[[ ]],1))))</f>
        <v>7</v>
      </c>
      <c r="P10" s="26" t="s">
        <v>96</v>
      </c>
      <c r="Q10" s="344">
        <v>21.16</v>
      </c>
      <c r="R10" s="344">
        <v>21.45</v>
      </c>
      <c r="S10" s="25">
        <f>IF(OR(Tabulka171013630364248[[#This Row],[LP]]="N",Tabulka171013630364248[[#This Row],[PP]]="N"),"N",IF(OR(Tabulka171013630364248[[#This Row],[LP]]="D",Tabulka171013630364248[[#This Row],[PP]]="D"),"D",IF(OR(Tabulka171013630364248[[#This Row],[LP]]="NEÚČAST",Tabulka171013630364248[[#This Row],[PP]]="NEÚČAST"),"NEÚČAST",IF(OR(Tabulka171013630364248[[#This Row],[LP]]="",Tabulka171013630364248[[#This Row],[PP]]=""),"",MAX(Tabulka171013630364248[[#This Row],[LP]:[PP]])))))</f>
        <v>21.45</v>
      </c>
      <c r="T10" s="46">
        <f>COUNTIF(Tabulka171013630364248[[#This Row],[Tým]],"*")</f>
        <v>1</v>
      </c>
      <c r="U10" s="46">
        <f>COUNTIF(Tabulka171013630364248[[#This Row],[Výsledný čas]],"NEÚČAST")</f>
        <v>0</v>
      </c>
      <c r="V10" s="29">
        <f>IF(Tabulka171013630364248[[#This Row],[Výsledný čas]]="N",998,IF(Tabulka171013630364248[[#This Row],[Výsledný čas]]="D",998,IF(Tabulka171013630364248[[#This Row],[Výsledný čas]]="","",Tabulka171013630364248[[#This Row],[Výsledný čas]])))</f>
        <v>21.45</v>
      </c>
      <c r="Y10" s="15"/>
      <c r="Z10" s="31">
        <f>IF(OR(Tabulka38111426323844[Výsledný čas]="N",Tabulka38111426323844[Výsledný čas]="D",Tabulka38111426323844[Výsledný čas]="NEÚČAST"),Uvod!$E$4,_xlfn.RANK.EQ(Tabulka38111426323844[[#This Row],[ ]],Tabulka38111426323844[[ ]],1))</f>
        <v>7</v>
      </c>
      <c r="AA10" s="51" t="s">
        <v>23</v>
      </c>
      <c r="AB10" s="348">
        <f>VLOOKUP(Tabulka38111426323844[[#This Row],[Tým]],Tabulka17101325313743[[Tým]:[ ]],2,FALSE)</f>
        <v>15.861000000000001</v>
      </c>
      <c r="AC10" s="348">
        <f>VLOOKUP(Tabulka38111426323844[[#This Row],[Tým]],Tabulka17101325313743[[Tým]:[ ]],3,FALSE)</f>
        <v>15.57</v>
      </c>
      <c r="AD10" s="348">
        <f>VLOOKUP(Tabulka38111426323844[[#This Row],[Tým]],Tabulka17101325313743[[Tým]:[ ]],4,FALSE)</f>
        <v>15.861000000000001</v>
      </c>
      <c r="AE10" s="25">
        <f>VLOOKUP(Tabulka38111426323844[[#This Row],[Tým]],Tabulka17101325313743[[Tým]:[ ]],7,FALSE)</f>
        <v>15.861000000000001</v>
      </c>
      <c r="AF10" s="29">
        <f>IF(Tabulka38111426323844[[#This Row],[Výsledný čas]]="N",5,IF(Tabulka38111426323844[[#This Row],[Výsledný čas]]="D",0,IF(Tabulka38111426323844[[#This Row],[Výsledný čas]]="NEÚČAST",0,Tabulka4[[#Totals],[Týmy muži]]+6-Tabulka38111426323844[[#This Row],[Umístění]])))</f>
        <v>18</v>
      </c>
      <c r="AH10" s="31">
        <f>_xlfn.RANK.EQ(Tabulka59121527333945[[#This Row],[Body]],Tabulka59121527333945[Body],0)</f>
        <v>7</v>
      </c>
      <c r="AI10" s="51" t="s">
        <v>16</v>
      </c>
      <c r="AJ10" s="29">
        <f>VLOOKUP(Tabulka59121527333945[[#This Row],[Tým]],Tabulka38111426323844[[Tým]:[Body]],6,FALSE)+Tabulka59121527333945[[#This Row],[ ]]</f>
        <v>97</v>
      </c>
      <c r="AK10" s="82">
        <f>VLOOKUP(Tabulka59121527333945[[#This Row],[Tým]],Tabulka591215273339[[Tým]:[Body]],2,FALSE)</f>
        <v>77</v>
      </c>
      <c r="AL10" s="47">
        <f>Tabulka59121527333945[[#This Row],[Umístění]]</f>
        <v>7</v>
      </c>
      <c r="AM10" s="15"/>
      <c r="AP10" s="1"/>
    </row>
    <row r="11" spans="1:42" ht="24.95" customHeight="1" x14ac:dyDescent="0.4">
      <c r="B11" s="6" t="s">
        <v>66</v>
      </c>
      <c r="C11" s="1">
        <f>IF(Tabulka17101325313743[[#This Row],[ ]]="","",IF(Tabulka17101325313743[[#This Row],[ ]]="NEÚČAST","",IF(OR(Tabulka17101325313743[Výsledný čas]="N",Tabulka17101325313743[Výsledný čas]="D"),$L$4-$L$5,_xlfn.RANK.EQ(Tabulka17101325313743[[#This Row],[ ]],Tabulka17101325313743[[ ]],1))))</f>
        <v>8</v>
      </c>
      <c r="D11" s="7" t="s">
        <v>23</v>
      </c>
      <c r="E11" s="342">
        <v>15.861000000000001</v>
      </c>
      <c r="F11" s="342">
        <v>15.57</v>
      </c>
      <c r="G11" s="237">
        <f>IF(OR(Tabulka17101325313743[[#This Row],[LP]]="N",Tabulka17101325313743[[#This Row],[PP]]="N"),"N",IF(OR(Tabulka17101325313743[[#This Row],[LP]]="D",Tabulka17101325313743[[#This Row],[PP]]="D"),"D",IF(OR(Tabulka17101325313743[[#This Row],[LP]]="NEÚČAST",Tabulka17101325313743[[#This Row],[PP]]="NEÚČAST"),"NEÚČAST",IF(OR(Tabulka17101325313743[[#This Row],[LP]]="",Tabulka17101325313743[[#This Row],[PP]]=""),"",MAX(Tabulka17101325313743[[#This Row],[LP]:[PP]])))))</f>
        <v>15.861000000000001</v>
      </c>
      <c r="H11" s="1">
        <f>COUNTIF(Tabulka17101325313743[[#This Row],[Tým]],"*")</f>
        <v>1</v>
      </c>
      <c r="I11" s="1">
        <f>COUNTIF(Tabulka17101325313743[[#This Row],[Výsledný čas]],"NEÚČAST")</f>
        <v>0</v>
      </c>
      <c r="J11" s="1">
        <f>IF(Tabulka17101325313743[[#This Row],[Výsledný čas]]="N",998,IF(Tabulka17101325313743[[#This Row],[Výsledný čas]]="D",998,IF(Tabulka17101325313743[[#This Row],[Výsledný čas]]="","",Tabulka17101325313743[[#This Row],[Výsledný čas]])))</f>
        <v>15.861000000000001</v>
      </c>
      <c r="N11" s="30" t="s">
        <v>129</v>
      </c>
      <c r="O11" s="25">
        <f>IF(Tabulka171013630364248[[#This Row],[ ]]="","",IF(Tabulka171013630364248[[#This Row],[ ]]="NEÚČAST","",IF(OR(Tabulka171013630364248[Výsledný čas]="N",Tabulka171013630364248[Výsledný čas]="D"),$X$4-$X$5,_xlfn.RANK.EQ(Tabulka171013630364248[[#This Row],[ ]],Tabulka171013630364248[[ ]],1))))</f>
        <v>8</v>
      </c>
      <c r="P11" s="26" t="s">
        <v>15</v>
      </c>
      <c r="Q11" s="344">
        <v>23.16</v>
      </c>
      <c r="R11" s="344">
        <v>23.43</v>
      </c>
      <c r="S11" s="25">
        <f>IF(OR(Tabulka171013630364248[[#This Row],[LP]]="N",Tabulka171013630364248[[#This Row],[PP]]="N"),"N",IF(OR(Tabulka171013630364248[[#This Row],[LP]]="D",Tabulka171013630364248[[#This Row],[PP]]="D"),"D",IF(OR(Tabulka171013630364248[[#This Row],[LP]]="NEÚČAST",Tabulka171013630364248[[#This Row],[PP]]="NEÚČAST"),"NEÚČAST",IF(OR(Tabulka171013630364248[[#This Row],[LP]]="",Tabulka171013630364248[[#This Row],[PP]]=""),"",MAX(Tabulka171013630364248[[#This Row],[LP]:[PP]])))))</f>
        <v>23.43</v>
      </c>
      <c r="T11" s="46">
        <f>COUNTIF(Tabulka171013630364248[[#This Row],[Tým]],"*")</f>
        <v>1</v>
      </c>
      <c r="U11" s="46">
        <f>COUNTIF(Tabulka171013630364248[[#This Row],[Výsledný čas]],"NEÚČAST")</f>
        <v>0</v>
      </c>
      <c r="V11" s="29">
        <f>IF(Tabulka171013630364248[[#This Row],[Výsledný čas]]="N",998,IF(Tabulka171013630364248[[#This Row],[Výsledný čas]]="D",998,IF(Tabulka171013630364248[[#This Row],[Výsledný čas]]="","",Tabulka171013630364248[[#This Row],[Výsledný čas]])))</f>
        <v>23.43</v>
      </c>
      <c r="Y11" s="15"/>
      <c r="Z11" s="31">
        <f>IF(OR(Tabulka38111426323844[Výsledný čas]="N",Tabulka38111426323844[Výsledný čas]="D",Tabulka38111426323844[Výsledný čas]="NEÚČAST"),Uvod!$E$4,_xlfn.RANK.EQ(Tabulka38111426323844[[#This Row],[ ]],Tabulka38111426323844[[ ]],1))</f>
        <v>8</v>
      </c>
      <c r="AA11" s="97" t="s">
        <v>13</v>
      </c>
      <c r="AB11" s="348">
        <f>VLOOKUP(Tabulka38111426323844[[#This Row],[Tým]],Tabulka17101325313743[[Tým]:[ ]],2,FALSE)</f>
        <v>15.32</v>
      </c>
      <c r="AC11" s="348">
        <f>VLOOKUP(Tabulka38111426323844[[#This Row],[Tým]],Tabulka17101325313743[[Tým]:[ ]],3,FALSE)</f>
        <v>15.96</v>
      </c>
      <c r="AD11" s="348">
        <f>VLOOKUP(Tabulka38111426323844[[#This Row],[Tým]],Tabulka17101325313743[[Tým]:[ ]],4,FALSE)</f>
        <v>15.96</v>
      </c>
      <c r="AE11" s="25">
        <f>VLOOKUP(Tabulka38111426323844[[#This Row],[Tým]],Tabulka17101325313743[[Tým]:[ ]],7,FALSE)</f>
        <v>15.96</v>
      </c>
      <c r="AF11" s="29">
        <f>IF(Tabulka38111426323844[[#This Row],[Výsledný čas]]="N",5,IF(Tabulka38111426323844[[#This Row],[Výsledný čas]]="D",0,IF(Tabulka38111426323844[[#This Row],[Výsledný čas]]="NEÚČAST",0,Tabulka4[[#Totals],[Týmy muži]]+6-Tabulka38111426323844[[#This Row],[Umístění]])))</f>
        <v>17</v>
      </c>
      <c r="AH11" s="31">
        <f>_xlfn.RANK.EQ(Tabulka59121527333945[[#This Row],[Body]],Tabulka59121527333945[Body],0)</f>
        <v>8</v>
      </c>
      <c r="AI11" s="97" t="s">
        <v>13</v>
      </c>
      <c r="AJ11" s="29">
        <f>VLOOKUP(Tabulka59121527333945[[#This Row],[Tým]],Tabulka38111426323844[[Tým]:[Body]],6,FALSE)+Tabulka59121527333945[[#This Row],[ ]]</f>
        <v>89</v>
      </c>
      <c r="AK11" s="82">
        <f>VLOOKUP(Tabulka59121527333945[[#This Row],[Tým]],Tabulka591215273339[[Tým]:[Body]],2,FALSE)</f>
        <v>72</v>
      </c>
      <c r="AL11" s="47">
        <f>Tabulka59121527333945[[#This Row],[Umístění]]</f>
        <v>8</v>
      </c>
      <c r="AM11" s="15"/>
      <c r="AP11" s="1"/>
    </row>
    <row r="12" spans="1:42" ht="24.95" customHeight="1" x14ac:dyDescent="0.4">
      <c r="B12" s="6" t="s">
        <v>44</v>
      </c>
      <c r="C12" s="1">
        <f>IF(Tabulka17101325313743[[#This Row],[ ]]="","",IF(Tabulka17101325313743[[#This Row],[ ]]="NEÚČAST","",IF(OR(Tabulka17101325313743[Výsledný čas]="N",Tabulka17101325313743[Výsledný čas]="D"),$L$4-$L$5,_xlfn.RANK.EQ(Tabulka17101325313743[[#This Row],[ ]],Tabulka17101325313743[[ ]],1))))</f>
        <v>9</v>
      </c>
      <c r="D12" s="7" t="s">
        <v>13</v>
      </c>
      <c r="E12" s="342">
        <v>15.32</v>
      </c>
      <c r="F12" s="342">
        <v>15.96</v>
      </c>
      <c r="G12" s="237">
        <f>IF(OR(Tabulka17101325313743[[#This Row],[LP]]="N",Tabulka17101325313743[[#This Row],[PP]]="N"),"N",IF(OR(Tabulka17101325313743[[#This Row],[LP]]="D",Tabulka17101325313743[[#This Row],[PP]]="D"),"D",IF(OR(Tabulka17101325313743[[#This Row],[LP]]="NEÚČAST",Tabulka17101325313743[[#This Row],[PP]]="NEÚČAST"),"NEÚČAST",IF(OR(Tabulka17101325313743[[#This Row],[LP]]="",Tabulka17101325313743[[#This Row],[PP]]=""),"",MAX(Tabulka17101325313743[[#This Row],[LP]:[PP]])))))</f>
        <v>15.96</v>
      </c>
      <c r="H12" s="1">
        <f>COUNTIF(Tabulka17101325313743[[#This Row],[Tým]],"*")</f>
        <v>1</v>
      </c>
      <c r="I12" s="1">
        <f>COUNTIF(Tabulka17101325313743[[#This Row],[Výsledný čas]],"NEÚČAST")</f>
        <v>0</v>
      </c>
      <c r="J12" s="1">
        <f>IF(Tabulka17101325313743[[#This Row],[Výsledný čas]]="N",998,IF(Tabulka17101325313743[[#This Row],[Výsledný čas]]="D",998,IF(Tabulka17101325313743[[#This Row],[Výsledný čas]]="","",Tabulka17101325313743[[#This Row],[Výsledný čas]])))</f>
        <v>15.96</v>
      </c>
      <c r="N12" s="58" t="s">
        <v>59</v>
      </c>
      <c r="O12" s="59">
        <f>IF(Tabulka171013630364248[[#This Row],[ ]]="","",IF(Tabulka171013630364248[[#This Row],[ ]]="NEÚČAST","",IF(OR(Tabulka171013630364248[Výsledný čas]="N",Tabulka171013630364248[Výsledný čas]="D"),$X$4-$X$5,_xlfn.RANK.EQ(Tabulka171013630364248[[#This Row],[ ]],Tabulka171013630364248[[ ]],1))))</f>
        <v>9</v>
      </c>
      <c r="P12" s="89" t="s">
        <v>118</v>
      </c>
      <c r="Q12" s="345">
        <v>21.61</v>
      </c>
      <c r="R12" s="345">
        <v>27.04</v>
      </c>
      <c r="S12" s="59">
        <f>IF(OR(Tabulka171013630364248[[#This Row],[LP]]="N",Tabulka171013630364248[[#This Row],[PP]]="N"),"N",IF(OR(Tabulka171013630364248[[#This Row],[LP]]="D",Tabulka171013630364248[[#This Row],[PP]]="D"),"D",IF(OR(Tabulka171013630364248[[#This Row],[LP]]="NEÚČAST",Tabulka171013630364248[[#This Row],[PP]]="NEÚČAST"),"NEÚČAST",IF(OR(Tabulka171013630364248[[#This Row],[LP]]="",Tabulka171013630364248[[#This Row],[PP]]=""),"",MAX(Tabulka171013630364248[[#This Row],[LP]:[PP]])))))</f>
        <v>27.04</v>
      </c>
      <c r="T12" s="158">
        <f>COUNTIF(Tabulka171013630364248[[#This Row],[Tým]],"*")</f>
        <v>1</v>
      </c>
      <c r="U12" s="158">
        <f>COUNTIF(Tabulka171013630364248[[#This Row],[Výsledný čas]],"NEÚČAST")</f>
        <v>0</v>
      </c>
      <c r="V12" s="60">
        <f>IF(Tabulka171013630364248[[#This Row],[Výsledný čas]]="N",998,IF(Tabulka171013630364248[[#This Row],[Výsledný čas]]="D",998,IF(Tabulka171013630364248[[#This Row],[Výsledný čas]]="","",Tabulka171013630364248[[#This Row],[Výsledný čas]])))</f>
        <v>27.04</v>
      </c>
      <c r="Y12" s="15"/>
      <c r="Z12" s="31">
        <f>IF(OR(Tabulka38111426323844[Výsledný čas]="N",Tabulka38111426323844[Výsledný čas]="D",Tabulka38111426323844[Výsledný čas]="NEÚČAST"),Uvod!$E$4,_xlfn.RANK.EQ(Tabulka38111426323844[[#This Row],[ ]],Tabulka38111426323844[[ ]],1))</f>
        <v>9</v>
      </c>
      <c r="AA12" s="51" t="s">
        <v>10</v>
      </c>
      <c r="AB12" s="348">
        <f>VLOOKUP(Tabulka38111426323844[[#This Row],[Tým]],Tabulka17101325313743[[Tým]:[ ]],2,FALSE)</f>
        <v>16.05</v>
      </c>
      <c r="AC12" s="348">
        <f>VLOOKUP(Tabulka38111426323844[[#This Row],[Tým]],Tabulka17101325313743[[Tým]:[ ]],3,FALSE)</f>
        <v>15.79</v>
      </c>
      <c r="AD12" s="348">
        <f>VLOOKUP(Tabulka38111426323844[[#This Row],[Tým]],Tabulka17101325313743[[Tým]:[ ]],4,FALSE)</f>
        <v>16.05</v>
      </c>
      <c r="AE12" s="25">
        <f>VLOOKUP(Tabulka38111426323844[[#This Row],[Tým]],Tabulka17101325313743[[Tým]:[ ]],7,FALSE)</f>
        <v>16.05</v>
      </c>
      <c r="AF12" s="29">
        <f>IF(Tabulka38111426323844[[#This Row],[Výsledný čas]]="N",5,IF(Tabulka38111426323844[[#This Row],[Výsledný čas]]="D",0,IF(Tabulka38111426323844[[#This Row],[Výsledný čas]]="NEÚČAST",0,Tabulka4[[#Totals],[Týmy muži]]+6-Tabulka38111426323844[[#This Row],[Umístění]])))</f>
        <v>16</v>
      </c>
      <c r="AH12" s="31">
        <f>_xlfn.RANK.EQ(Tabulka59121527333945[[#This Row],[Body]],Tabulka59121527333945[Body],0)</f>
        <v>9</v>
      </c>
      <c r="AI12" s="51" t="s">
        <v>18</v>
      </c>
      <c r="AJ12" s="29">
        <f>VLOOKUP(Tabulka59121527333945[[#This Row],[Tým]],Tabulka38111426323844[[Tým]:[Body]],6,FALSE)+Tabulka59121527333945[[#This Row],[ ]]</f>
        <v>88</v>
      </c>
      <c r="AK12" s="82">
        <f>VLOOKUP(Tabulka59121527333945[[#This Row],[Tým]],Tabulka591215273339[[Tým]:[Body]],2,FALSE)</f>
        <v>66</v>
      </c>
      <c r="AL12" s="47">
        <f>Tabulka59121527333945[[#This Row],[Umístění]]</f>
        <v>9</v>
      </c>
      <c r="AM12" s="15"/>
      <c r="AP12" s="1"/>
    </row>
    <row r="13" spans="1:42" ht="24.95" customHeight="1" x14ac:dyDescent="0.4">
      <c r="B13" s="6" t="s">
        <v>106</v>
      </c>
      <c r="C13" s="1">
        <f>IF(Tabulka17101325313743[[#This Row],[ ]]="","",IF(Tabulka17101325313743[[#This Row],[ ]]="NEÚČAST","",IF(OR(Tabulka17101325313743[Výsledný čas]="N",Tabulka17101325313743[Výsledný čas]="D"),$L$4-$L$5,_xlfn.RANK.EQ(Tabulka17101325313743[[#This Row],[ ]],Tabulka17101325313743[[ ]],1))))</f>
        <v>10</v>
      </c>
      <c r="D13" s="7" t="s">
        <v>10</v>
      </c>
      <c r="E13" s="342">
        <v>16.05</v>
      </c>
      <c r="F13" s="342">
        <v>15.79</v>
      </c>
      <c r="G13" s="237">
        <f>IF(OR(Tabulka17101325313743[[#This Row],[LP]]="N",Tabulka17101325313743[[#This Row],[PP]]="N"),"N",IF(OR(Tabulka17101325313743[[#This Row],[LP]]="D",Tabulka17101325313743[[#This Row],[PP]]="D"),"D",IF(OR(Tabulka17101325313743[[#This Row],[LP]]="NEÚČAST",Tabulka17101325313743[[#This Row],[PP]]="NEÚČAST"),"NEÚČAST",IF(OR(Tabulka17101325313743[[#This Row],[LP]]="",Tabulka17101325313743[[#This Row],[PP]]=""),"",MAX(Tabulka17101325313743[[#This Row],[LP]:[PP]])))))</f>
        <v>16.05</v>
      </c>
      <c r="H13" s="1">
        <f>COUNTIF(Tabulka17101325313743[[#This Row],[Tým]],"*")</f>
        <v>1</v>
      </c>
      <c r="I13" s="1">
        <f>COUNTIF(Tabulka17101325313743[[#This Row],[Výsledný čas]],"NEÚČAST")</f>
        <v>0</v>
      </c>
      <c r="J13" s="1">
        <f>IF(Tabulka17101325313743[[#This Row],[Výsledný čas]]="N",998,IF(Tabulka17101325313743[[#This Row],[Výsledný čas]]="D",998,IF(Tabulka17101325313743[[#This Row],[Výsledný čas]]="","",Tabulka17101325313743[[#This Row],[Výsledný čas]])))</f>
        <v>16.05</v>
      </c>
      <c r="N13" s="31">
        <v>15</v>
      </c>
      <c r="O13" s="334">
        <f>IF(Tabulka171013630364248[[#This Row],[ ]]="","",IF(Tabulka171013630364248[[#This Row],[ ]]="NEÚČAST","",IF(OR(Tabulka171013630364248[Výsledný čas]="N",Tabulka171013630364248[Výsledný čas]="D"),$X$4-$X$5,_xlfn.RANK.EQ(Tabulka171013630364248[[#This Row],[ ]],Tabulka171013630364248[[ ]],1))))</f>
        <v>12</v>
      </c>
      <c r="P13" s="26" t="s">
        <v>21</v>
      </c>
      <c r="Q13" s="344" t="s">
        <v>9</v>
      </c>
      <c r="R13" s="344" t="s">
        <v>9</v>
      </c>
      <c r="S13" s="336" t="str">
        <f>IF(OR(Tabulka171013630364248[[#This Row],[LP]]="N",Tabulka171013630364248[[#This Row],[PP]]="N"),"N",IF(OR(Tabulka171013630364248[[#This Row],[LP]]="D",Tabulka171013630364248[[#This Row],[PP]]="D"),"D",IF(OR(Tabulka171013630364248[[#This Row],[LP]]="NEÚČAST",Tabulka171013630364248[[#This Row],[PP]]="NEÚČAST"),"NEÚČAST",IF(OR(Tabulka171013630364248[[#This Row],[LP]]="",Tabulka171013630364248[[#This Row],[PP]]=""),"",MAX(Tabulka171013630364248[[#This Row],[LP]:[PP]])))))</f>
        <v>N</v>
      </c>
      <c r="T13" s="340">
        <f>COUNTIF(Tabulka171013630364248[[#This Row],[Tým]],"*")</f>
        <v>1</v>
      </c>
      <c r="U13" s="335">
        <f>COUNTIF(Tabulka171013630364248[[#This Row],[Výsledný čas]],"NEÚČAST")</f>
        <v>0</v>
      </c>
      <c r="V13" s="336">
        <f>IF(Tabulka171013630364248[[#This Row],[Výsledný čas]]="N",998,IF(Tabulka171013630364248[[#This Row],[Výsledný čas]]="D",998,IF(Tabulka171013630364248[[#This Row],[Výsledný čas]]="","",Tabulka171013630364248[[#This Row],[Výsledný čas]])))</f>
        <v>998</v>
      </c>
      <c r="Y13" s="159"/>
      <c r="Z13" s="63">
        <f>IF(OR(Tabulka38111426323844[Výsledný čas]="N",Tabulka38111426323844[Výsledný čas]="D",Tabulka38111426323844[Výsledný čas]="NEÚČAST"),Uvod!$E$4,_xlfn.RANK.EQ(Tabulka38111426323844[[#This Row],[ ]],Tabulka38111426323844[[ ]],1))</f>
        <v>10</v>
      </c>
      <c r="AA13" s="51" t="s">
        <v>24</v>
      </c>
      <c r="AB13" s="348">
        <f>VLOOKUP(Tabulka38111426323844[[#This Row],[Tým]],Tabulka17101325313743[[Tým]:[ ]],2,FALSE)</f>
        <v>16.239999999999998</v>
      </c>
      <c r="AC13" s="348">
        <f>VLOOKUP(Tabulka38111426323844[[#This Row],[Tým]],Tabulka17101325313743[[Tým]:[ ]],3,FALSE)</f>
        <v>15.41</v>
      </c>
      <c r="AD13" s="348">
        <f>VLOOKUP(Tabulka38111426323844[[#This Row],[Tým]],Tabulka17101325313743[[Tým]:[ ]],4,FALSE)</f>
        <v>16.239999999999998</v>
      </c>
      <c r="AE13" s="25">
        <f>VLOOKUP(Tabulka38111426323844[[#This Row],[Tým]],Tabulka17101325313743[[Tým]:[ ]],7,FALSE)</f>
        <v>16.239999999999998</v>
      </c>
      <c r="AF13" s="29">
        <f>IF(Tabulka38111426323844[[#This Row],[Výsledný čas]]="N",5,IF(Tabulka38111426323844[[#This Row],[Výsledný čas]]="D",0,IF(Tabulka38111426323844[[#This Row],[Výsledný čas]]="NEÚČAST",0,Tabulka4[[#Totals],[Týmy muži]]+6-Tabulka38111426323844[[#This Row],[Umístění]])))</f>
        <v>15</v>
      </c>
      <c r="AH13" s="31">
        <f>_xlfn.RANK.EQ(Tabulka59121527333945[[#This Row],[Body]],Tabulka59121527333945[Body],0)</f>
        <v>10</v>
      </c>
      <c r="AI13" s="51" t="s">
        <v>11</v>
      </c>
      <c r="AJ13" s="29">
        <f>VLOOKUP(Tabulka59121527333945[[#This Row],[Tým]],Tabulka38111426323844[[Tým]:[Body]],6,FALSE)+Tabulka59121527333945[[#This Row],[ ]]</f>
        <v>87</v>
      </c>
      <c r="AK13" s="82">
        <f>VLOOKUP(Tabulka59121527333945[[#This Row],[Tým]],Tabulka591215273339[[Tým]:[Body]],2,FALSE)</f>
        <v>75</v>
      </c>
      <c r="AL13" s="47">
        <f>Tabulka59121527333945[[#This Row],[Umístění]]</f>
        <v>10</v>
      </c>
      <c r="AM13" s="15"/>
      <c r="AP13" s="1"/>
    </row>
    <row r="14" spans="1:42" ht="24.95" customHeight="1" x14ac:dyDescent="0.4">
      <c r="B14" s="6" t="s">
        <v>69</v>
      </c>
      <c r="C14" s="1">
        <f>IF(Tabulka17101325313743[[#This Row],[ ]]="","",IF(Tabulka17101325313743[[#This Row],[ ]]="NEÚČAST","",IF(OR(Tabulka17101325313743[Výsledný čas]="N",Tabulka17101325313743[Výsledný čas]="D"),$L$4-$L$5,_xlfn.RANK.EQ(Tabulka17101325313743[[#This Row],[ ]],Tabulka17101325313743[[ ]],1))))</f>
        <v>11</v>
      </c>
      <c r="D14" s="7" t="s">
        <v>24</v>
      </c>
      <c r="E14" s="342">
        <v>16.239999999999998</v>
      </c>
      <c r="F14" s="342">
        <v>15.41</v>
      </c>
      <c r="G14" s="237">
        <f>IF(OR(Tabulka17101325313743[[#This Row],[LP]]="N",Tabulka17101325313743[[#This Row],[PP]]="N"),"N",IF(OR(Tabulka17101325313743[[#This Row],[LP]]="D",Tabulka17101325313743[[#This Row],[PP]]="D"),"D",IF(OR(Tabulka17101325313743[[#This Row],[LP]]="NEÚČAST",Tabulka17101325313743[[#This Row],[PP]]="NEÚČAST"),"NEÚČAST",IF(OR(Tabulka17101325313743[[#This Row],[LP]]="",Tabulka17101325313743[[#This Row],[PP]]=""),"",MAX(Tabulka17101325313743[[#This Row],[LP]:[PP]])))))</f>
        <v>16.239999999999998</v>
      </c>
      <c r="H14" s="1">
        <f>COUNTIF(Tabulka17101325313743[[#This Row],[Tým]],"*")</f>
        <v>1</v>
      </c>
      <c r="I14" s="1">
        <f>COUNTIF(Tabulka17101325313743[[#This Row],[Výsledný čas]],"NEÚČAST")</f>
        <v>0</v>
      </c>
      <c r="J14" s="1">
        <f>IF(Tabulka17101325313743[[#This Row],[Výsledný čas]]="N",998,IF(Tabulka17101325313743[[#This Row],[Výsledný čas]]="D",998,IF(Tabulka17101325313743[[#This Row],[Výsledný čas]]="","",Tabulka17101325313743[[#This Row],[Výsledný čas]])))</f>
        <v>16.239999999999998</v>
      </c>
      <c r="N14" s="31" t="s">
        <v>58</v>
      </c>
      <c r="O14" s="334">
        <f>IF(Tabulka171013630364248[[#This Row],[ ]]="","",IF(Tabulka171013630364248[[#This Row],[ ]]="NEÚČAST","",IF(OR(Tabulka171013630364248[Výsledný čas]="N",Tabulka171013630364248[Výsledný čas]="D"),$X$4-$X$5,_xlfn.RANK.EQ(Tabulka171013630364248[[#This Row],[ ]],Tabulka171013630364248[[ ]],1))))</f>
        <v>12</v>
      </c>
      <c r="P14" s="26" t="s">
        <v>35</v>
      </c>
      <c r="Q14" s="344" t="s">
        <v>9</v>
      </c>
      <c r="R14" s="344" t="s">
        <v>9</v>
      </c>
      <c r="S14" s="336" t="str">
        <f>IF(OR(Tabulka171013630364248[[#This Row],[LP]]="N",Tabulka171013630364248[[#This Row],[PP]]="N"),"N",IF(OR(Tabulka171013630364248[[#This Row],[LP]]="D",Tabulka171013630364248[[#This Row],[PP]]="D"),"D",IF(OR(Tabulka171013630364248[[#This Row],[LP]]="NEÚČAST",Tabulka171013630364248[[#This Row],[PP]]="NEÚČAST"),"NEÚČAST",IF(OR(Tabulka171013630364248[[#This Row],[LP]]="",Tabulka171013630364248[[#This Row],[PP]]=""),"",MAX(Tabulka171013630364248[[#This Row],[LP]:[PP]])))))</f>
        <v>N</v>
      </c>
      <c r="T14" s="340">
        <f>COUNTIF(Tabulka171013630364248[[#This Row],[Tým]],"*")</f>
        <v>1</v>
      </c>
      <c r="U14" s="335">
        <f>COUNTIF(Tabulka171013630364248[[#This Row],[Výsledný čas]],"NEÚČAST")</f>
        <v>0</v>
      </c>
      <c r="V14" s="336">
        <f>IF(Tabulka171013630364248[[#This Row],[Výsledný čas]]="N",998,IF(Tabulka171013630364248[[#This Row],[Výsledný čas]]="D",998,IF(Tabulka171013630364248[[#This Row],[Výsledný čas]]="","",Tabulka171013630364248[[#This Row],[Výsledný čas]])))</f>
        <v>998</v>
      </c>
      <c r="Y14" s="159"/>
      <c r="Z14" s="63">
        <f>IF(OR(Tabulka38111426323844[Výsledný čas]="N",Tabulka38111426323844[Výsledný čas]="D",Tabulka38111426323844[Výsledný čas]="NEÚČAST"),Uvod!$E$4,_xlfn.RANK.EQ(Tabulka38111426323844[[#This Row],[ ]],Tabulka38111426323844[[ ]],1))</f>
        <v>11</v>
      </c>
      <c r="AA14" s="51" t="s">
        <v>6</v>
      </c>
      <c r="AB14" s="348">
        <f>VLOOKUP(Tabulka38111426323844[[#This Row],[Tým]],Tabulka17101325313743[[Tým]:[ ]],2,FALSE)</f>
        <v>16.34</v>
      </c>
      <c r="AC14" s="348">
        <f>VLOOKUP(Tabulka38111426323844[[#This Row],[Tým]],Tabulka17101325313743[[Tým]:[ ]],3,FALSE)</f>
        <v>17.29</v>
      </c>
      <c r="AD14" s="348">
        <f>VLOOKUP(Tabulka38111426323844[[#This Row],[Tým]],Tabulka17101325313743[[Tým]:[ ]],4,FALSE)</f>
        <v>17.29</v>
      </c>
      <c r="AE14" s="25">
        <f>VLOOKUP(Tabulka38111426323844[[#This Row],[Tým]],Tabulka17101325313743[[Tým]:[ ]],7,FALSE)</f>
        <v>17.29</v>
      </c>
      <c r="AF14" s="29">
        <f>IF(Tabulka38111426323844[[#This Row],[Výsledný čas]]="N",5,IF(Tabulka38111426323844[[#This Row],[Výsledný čas]]="D",0,IF(Tabulka38111426323844[[#This Row],[Výsledný čas]]="NEÚČAST",0,Tabulka4[[#Totals],[Týmy muži]]+6-Tabulka38111426323844[[#This Row],[Umístění]])))</f>
        <v>14</v>
      </c>
      <c r="AH14" s="31">
        <f>_xlfn.RANK.EQ(Tabulka59121527333945[[#This Row],[Body]],Tabulka59121527333945[Body],0)</f>
        <v>11</v>
      </c>
      <c r="AI14" s="51" t="s">
        <v>15</v>
      </c>
      <c r="AJ14" s="29">
        <f>VLOOKUP(Tabulka59121527333945[[#This Row],[Tým]],Tabulka38111426323844[[Tým]:[Body]],6,FALSE)+Tabulka59121527333945[[#This Row],[ ]]</f>
        <v>86</v>
      </c>
      <c r="AK14" s="82">
        <f>VLOOKUP(Tabulka59121527333945[[#This Row],[Tým]],Tabulka591215273339[[Tým]:[Body]],2,FALSE)</f>
        <v>78</v>
      </c>
      <c r="AL14" s="47">
        <f>Tabulka59121527333945[[#This Row],[Umístění]]</f>
        <v>11</v>
      </c>
      <c r="AM14" s="15"/>
      <c r="AP14" s="1"/>
    </row>
    <row r="15" spans="1:42" ht="24.95" customHeight="1" thickBot="1" x14ac:dyDescent="0.45">
      <c r="B15" s="6" t="s">
        <v>56</v>
      </c>
      <c r="C15" s="1">
        <f>IF(Tabulka17101325313743[[#This Row],[ ]]="","",IF(Tabulka17101325313743[[#This Row],[ ]]="NEÚČAST","",IF(OR(Tabulka17101325313743[Výsledný čas]="N",Tabulka17101325313743[Výsledný čas]="D"),$L$4-$L$5,_xlfn.RANK.EQ(Tabulka17101325313743[[#This Row],[ ]],Tabulka17101325313743[[ ]],1))))</f>
        <v>12</v>
      </c>
      <c r="D15" s="7" t="s">
        <v>151</v>
      </c>
      <c r="E15" s="342">
        <v>16.350000000000001</v>
      </c>
      <c r="F15" s="342">
        <v>15.58</v>
      </c>
      <c r="G15" s="237">
        <f>IF(OR(Tabulka17101325313743[[#This Row],[LP]]="N",Tabulka17101325313743[[#This Row],[PP]]="N"),"N",IF(OR(Tabulka17101325313743[[#This Row],[LP]]="D",Tabulka17101325313743[[#This Row],[PP]]="D"),"D",IF(OR(Tabulka17101325313743[[#This Row],[LP]]="NEÚČAST",Tabulka17101325313743[[#This Row],[PP]]="NEÚČAST"),"NEÚČAST",IF(OR(Tabulka17101325313743[[#This Row],[LP]]="",Tabulka17101325313743[[#This Row],[PP]]=""),"",MAX(Tabulka17101325313743[[#This Row],[LP]:[PP]])))))</f>
        <v>16.350000000000001</v>
      </c>
      <c r="H15" s="1">
        <f>COUNTIF(Tabulka17101325313743[[#This Row],[Tým]],"*")</f>
        <v>1</v>
      </c>
      <c r="I15" s="1">
        <f>COUNTIF(Tabulka17101325313743[[#This Row],[Výsledný čas]],"NEÚČAST")</f>
        <v>0</v>
      </c>
      <c r="J15" s="1">
        <f>IF(Tabulka17101325313743[[#This Row],[Výsledný čas]]="N",998,IF(Tabulka17101325313743[[#This Row],[Výsledný čas]]="D",998,IF(Tabulka17101325313743[[#This Row],[Výsledný čas]]="","",Tabulka17101325313743[[#This Row],[Výsledný čas]])))</f>
        <v>16.350000000000001</v>
      </c>
      <c r="N15" s="33" t="s">
        <v>52</v>
      </c>
      <c r="O15" s="337">
        <f>IF(Tabulka171013630364248[[#This Row],[ ]]="","",IF(Tabulka171013630364248[[#This Row],[ ]]="NEÚČAST","",IF(OR(Tabulka171013630364248[Výsledný čas]="N",Tabulka171013630364248[Výsledný čas]="D"),$X$4-$X$5,_xlfn.RANK.EQ(Tabulka171013630364248[[#This Row],[ ]],Tabulka171013630364248[[ ]],1))))</f>
        <v>12</v>
      </c>
      <c r="P15" s="101" t="s">
        <v>24</v>
      </c>
      <c r="Q15" s="346" t="s">
        <v>9</v>
      </c>
      <c r="R15" s="346" t="s">
        <v>9</v>
      </c>
      <c r="S15" s="339" t="str">
        <f>IF(OR(Tabulka171013630364248[[#This Row],[LP]]="N",Tabulka171013630364248[[#This Row],[PP]]="N"),"N",IF(OR(Tabulka171013630364248[[#This Row],[LP]]="D",Tabulka171013630364248[[#This Row],[PP]]="D"),"D",IF(OR(Tabulka171013630364248[[#This Row],[LP]]="NEÚČAST",Tabulka171013630364248[[#This Row],[PP]]="NEÚČAST"),"NEÚČAST",IF(OR(Tabulka171013630364248[[#This Row],[LP]]="",Tabulka171013630364248[[#This Row],[PP]]=""),"",MAX(Tabulka171013630364248[[#This Row],[LP]:[PP]])))))</f>
        <v>N</v>
      </c>
      <c r="T15" s="341">
        <f>COUNTIF(Tabulka171013630364248[[#This Row],[Tým]],"*")</f>
        <v>1</v>
      </c>
      <c r="U15" s="338">
        <f>COUNTIF(Tabulka171013630364248[[#This Row],[Výsledný čas]],"NEÚČAST")</f>
        <v>0</v>
      </c>
      <c r="V15" s="339">
        <f>IF(Tabulka171013630364248[[#This Row],[Výsledný čas]]="N",998,IF(Tabulka171013630364248[[#This Row],[Výsledný čas]]="D",998,IF(Tabulka171013630364248[[#This Row],[Výsledný čas]]="","",Tabulka171013630364248[[#This Row],[Výsledný čas]])))</f>
        <v>998</v>
      </c>
      <c r="Y15" s="159"/>
      <c r="Z15" s="63">
        <f>IF(OR(Tabulka38111426323844[Výsledný čas]="N",Tabulka38111426323844[Výsledný čas]="D",Tabulka38111426323844[Výsledný čas]="NEÚČAST"),Uvod!$E$4,_xlfn.RANK.EQ(Tabulka38111426323844[[#This Row],[ ]],Tabulka38111426323844[[ ]],1))</f>
        <v>12</v>
      </c>
      <c r="AA15" s="51" t="s">
        <v>14</v>
      </c>
      <c r="AB15" s="348">
        <f>VLOOKUP(Tabulka38111426323844[[#This Row],[Tým]],Tabulka17101325313743[[Tým]:[ ]],2,FALSE)</f>
        <v>17.63</v>
      </c>
      <c r="AC15" s="348">
        <f>VLOOKUP(Tabulka38111426323844[[#This Row],[Tým]],Tabulka17101325313743[[Tým]:[ ]],3,FALSE)</f>
        <v>17.489999999999998</v>
      </c>
      <c r="AD15" s="348">
        <f>VLOOKUP(Tabulka38111426323844[[#This Row],[Tým]],Tabulka17101325313743[[Tým]:[ ]],4,FALSE)</f>
        <v>17.63</v>
      </c>
      <c r="AE15" s="25">
        <f>VLOOKUP(Tabulka38111426323844[[#This Row],[Tým]],Tabulka17101325313743[[Tým]:[ ]],7,FALSE)</f>
        <v>17.63</v>
      </c>
      <c r="AF15" s="29">
        <f>IF(Tabulka38111426323844[[#This Row],[Výsledný čas]]="N",5,IF(Tabulka38111426323844[[#This Row],[Výsledný čas]]="D",0,IF(Tabulka38111426323844[[#This Row],[Výsledný čas]]="NEÚČAST",0,Tabulka4[[#Totals],[Týmy muži]]+6-Tabulka38111426323844[[#This Row],[Umístění]])))</f>
        <v>13</v>
      </c>
      <c r="AH15" s="31">
        <f>_xlfn.RANK.EQ(Tabulka59121527333945[[#This Row],[Body]],Tabulka59121527333945[Body],0)</f>
        <v>12</v>
      </c>
      <c r="AI15" s="51" t="s">
        <v>14</v>
      </c>
      <c r="AJ15" s="29">
        <f>VLOOKUP(Tabulka59121527333945[[#This Row],[Tým]],Tabulka38111426323844[[Tým]:[Body]],6,FALSE)+Tabulka59121527333945[[#This Row],[ ]]</f>
        <v>80</v>
      </c>
      <c r="AK15" s="82">
        <f>VLOOKUP(Tabulka59121527333945[[#This Row],[Tým]],Tabulka591215273339[[Tým]:[Body]],2,FALSE)</f>
        <v>67</v>
      </c>
      <c r="AL15" s="47">
        <f>Tabulka59121527333945[[#This Row],[Umístění]]</f>
        <v>12</v>
      </c>
      <c r="AM15" s="15"/>
      <c r="AP15" s="1"/>
    </row>
    <row r="16" spans="1:42" ht="24.95" customHeight="1" x14ac:dyDescent="0.4">
      <c r="B16" s="11" t="s">
        <v>53</v>
      </c>
      <c r="C16" s="1">
        <f>IF(Tabulka17101325313743[[#This Row],[ ]]="","",IF(Tabulka17101325313743[[#This Row],[ ]]="NEÚČAST","",IF(OR(Tabulka17101325313743[Výsledný čas]="N",Tabulka17101325313743[Výsledný čas]="D"),$L$4-$L$5,_xlfn.RANK.EQ(Tabulka17101325313743[[#This Row],[ ]],Tabulka17101325313743[[ ]],1))))</f>
        <v>13</v>
      </c>
      <c r="D16" s="7" t="s">
        <v>114</v>
      </c>
      <c r="E16" s="342">
        <v>17.09</v>
      </c>
      <c r="F16" s="342">
        <v>14.92</v>
      </c>
      <c r="G16" s="237">
        <f>IF(OR(Tabulka17101325313743[[#This Row],[LP]]="N",Tabulka17101325313743[[#This Row],[PP]]="N"),"N",IF(OR(Tabulka17101325313743[[#This Row],[LP]]="D",Tabulka17101325313743[[#This Row],[PP]]="D"),"D",IF(OR(Tabulka17101325313743[[#This Row],[LP]]="NEÚČAST",Tabulka17101325313743[[#This Row],[PP]]="NEÚČAST"),"NEÚČAST",IF(OR(Tabulka17101325313743[[#This Row],[LP]]="",Tabulka17101325313743[[#This Row],[PP]]=""),"",MAX(Tabulka17101325313743[[#This Row],[LP]:[PP]])))))</f>
        <v>17.09</v>
      </c>
      <c r="H16" s="1">
        <f>COUNTIF(Tabulka17101325313743[[#This Row],[Tým]],"*")</f>
        <v>1</v>
      </c>
      <c r="I16" s="1">
        <f>COUNTIF(Tabulka17101325313743[[#This Row],[Výsledný čas]],"NEÚČAST")</f>
        <v>0</v>
      </c>
      <c r="J16" s="1">
        <f>IF(Tabulka17101325313743[[#This Row],[Výsledný čas]]="N",998,IF(Tabulka17101325313743[[#This Row],[Výsledný čas]]="D",998,IF(Tabulka17101325313743[[#This Row],[Výsledný čas]]="","",Tabulka17101325313743[[#This Row],[Výsledný čas]])))</f>
        <v>17.09</v>
      </c>
      <c r="P16" s="7"/>
      <c r="Q16" s="8"/>
      <c r="R16" s="8"/>
      <c r="Z16" s="63">
        <f>IF(OR(Tabulka38111426323844[Výsledný čas]="N",Tabulka38111426323844[Výsledný čas]="D",Tabulka38111426323844[Výsledný čas]="NEÚČAST"),Uvod!$E$4,_xlfn.RANK.EQ(Tabulka38111426323844[[#This Row],[ ]],Tabulka38111426323844[[ ]],1))</f>
        <v>13</v>
      </c>
      <c r="AA16" s="51" t="s">
        <v>11</v>
      </c>
      <c r="AB16" s="348">
        <f>VLOOKUP(Tabulka38111426323844[[#This Row],[Tým]],Tabulka17101325313743[[Tým]:[ ]],2,FALSE)</f>
        <v>17.72</v>
      </c>
      <c r="AC16" s="348">
        <f>VLOOKUP(Tabulka38111426323844[[#This Row],[Tým]],Tabulka17101325313743[[Tým]:[ ]],3,FALSE)</f>
        <v>17.09</v>
      </c>
      <c r="AD16" s="348">
        <f>VLOOKUP(Tabulka38111426323844[[#This Row],[Tým]],Tabulka17101325313743[[Tým]:[ ]],4,FALSE)</f>
        <v>17.72</v>
      </c>
      <c r="AE16" s="25">
        <f>VLOOKUP(Tabulka38111426323844[[#This Row],[Tým]],Tabulka17101325313743[[Tým]:[ ]],7,FALSE)</f>
        <v>17.72</v>
      </c>
      <c r="AF16" s="29">
        <f>IF(Tabulka38111426323844[[#This Row],[Výsledný čas]]="N",5,IF(Tabulka38111426323844[[#This Row],[Výsledný čas]]="D",0,IF(Tabulka38111426323844[[#This Row],[Výsledný čas]]="NEÚČAST",0,Tabulka4[[#Totals],[Týmy muži]]+6-Tabulka38111426323844[[#This Row],[Umístění]])))</f>
        <v>12</v>
      </c>
      <c r="AH16" s="31">
        <f>_xlfn.RANK.EQ(Tabulka59121527333945[[#This Row],[Body]],Tabulka59121527333945[Body],0)</f>
        <v>13</v>
      </c>
      <c r="AI16" s="51" t="s">
        <v>25</v>
      </c>
      <c r="AJ16" s="29">
        <f>VLOOKUP(Tabulka59121527333945[[#This Row],[Tým]],Tabulka38111426323844[[Tým]:[Body]],6,FALSE)+Tabulka59121527333945[[#This Row],[ ]]</f>
        <v>77</v>
      </c>
      <c r="AK16" s="82">
        <f>VLOOKUP(Tabulka59121527333945[[#This Row],[Tým]],Tabulka591215273339[[Tým]:[Body]],2,FALSE)</f>
        <v>66</v>
      </c>
      <c r="AL16" s="47">
        <f>Tabulka59121527333945[[#This Row],[Umístění]]</f>
        <v>13</v>
      </c>
      <c r="AM16" s="15"/>
      <c r="AP16" s="1"/>
    </row>
    <row r="17" spans="2:42" ht="24.95" customHeight="1" x14ac:dyDescent="0.4">
      <c r="B17" s="6" t="s">
        <v>42</v>
      </c>
      <c r="C17" s="1">
        <f>IF(Tabulka17101325313743[[#This Row],[ ]]="","",IF(Tabulka17101325313743[[#This Row],[ ]]="NEÚČAST","",IF(OR(Tabulka17101325313743[Výsledný čas]="N",Tabulka17101325313743[Výsledný čas]="D"),$L$4-$L$5,_xlfn.RANK.EQ(Tabulka17101325313743[[#This Row],[ ]],Tabulka17101325313743[[ ]],1))))</f>
        <v>14</v>
      </c>
      <c r="D17" s="12" t="s">
        <v>6</v>
      </c>
      <c r="E17" s="342">
        <v>16.34</v>
      </c>
      <c r="F17" s="342">
        <v>17.29</v>
      </c>
      <c r="G17" s="237">
        <f>IF(OR(Tabulka17101325313743[[#This Row],[LP]]="N",Tabulka17101325313743[[#This Row],[PP]]="N"),"N",IF(OR(Tabulka17101325313743[[#This Row],[LP]]="D",Tabulka17101325313743[[#This Row],[PP]]="D"),"D",IF(OR(Tabulka17101325313743[[#This Row],[LP]]="NEÚČAST",Tabulka17101325313743[[#This Row],[PP]]="NEÚČAST"),"NEÚČAST",IF(OR(Tabulka17101325313743[[#This Row],[LP]]="",Tabulka17101325313743[[#This Row],[PP]]=""),"",MAX(Tabulka17101325313743[[#This Row],[LP]:[PP]])))))</f>
        <v>17.29</v>
      </c>
      <c r="H17" s="1">
        <f>COUNTIF(Tabulka17101325313743[[#This Row],[Tým]],"*")</f>
        <v>1</v>
      </c>
      <c r="I17" s="1">
        <f>COUNTIF(Tabulka17101325313743[[#This Row],[Výsledný čas]],"NEÚČAST")</f>
        <v>0</v>
      </c>
      <c r="J17" s="1">
        <f>IF(Tabulka17101325313743[[#This Row],[Výsledný čas]]="N",998,IF(Tabulka17101325313743[[#This Row],[Výsledný čas]]="D",998,IF(Tabulka17101325313743[[#This Row],[Výsledný čas]]="","",Tabulka17101325313743[[#This Row],[Výsledný čas]])))</f>
        <v>17.29</v>
      </c>
      <c r="N17" s="68"/>
      <c r="P17" s="7"/>
      <c r="Q17" s="8"/>
      <c r="R17" s="8"/>
      <c r="Z17" s="63">
        <f>IF(OR(Tabulka38111426323844[Výsledný čas]="N",Tabulka38111426323844[Výsledný čas]="D",Tabulka38111426323844[Výsledný čas]="NEÚČAST"),Uvod!$E$4,_xlfn.RANK.EQ(Tabulka38111426323844[[#This Row],[ ]],Tabulka38111426323844[[ ]],1))</f>
        <v>14</v>
      </c>
      <c r="AA17" s="51" t="s">
        <v>25</v>
      </c>
      <c r="AB17" s="348">
        <f>VLOOKUP(Tabulka38111426323844[[#This Row],[Tým]],Tabulka17101325313743[[Tým]:[ ]],2,FALSE)</f>
        <v>18.18</v>
      </c>
      <c r="AC17" s="348">
        <f>VLOOKUP(Tabulka38111426323844[[#This Row],[Tým]],Tabulka17101325313743[[Tým]:[ ]],3,FALSE)</f>
        <v>17.62</v>
      </c>
      <c r="AD17" s="348">
        <f>VLOOKUP(Tabulka38111426323844[[#This Row],[Tým]],Tabulka17101325313743[[Tým]:[ ]],4,FALSE)</f>
        <v>18.18</v>
      </c>
      <c r="AE17" s="25">
        <f>VLOOKUP(Tabulka38111426323844[[#This Row],[Tým]],Tabulka17101325313743[[Tým]:[ ]],7,FALSE)</f>
        <v>18.18</v>
      </c>
      <c r="AF17" s="29">
        <f>IF(Tabulka38111426323844[[#This Row],[Výsledný čas]]="N",5,IF(Tabulka38111426323844[[#This Row],[Výsledný čas]]="D",0,IF(Tabulka38111426323844[[#This Row],[Výsledný čas]]="NEÚČAST",0,Tabulka4[[#Totals],[Týmy muži]]+6-Tabulka38111426323844[[#This Row],[Umístění]])))</f>
        <v>11</v>
      </c>
      <c r="AH17" s="31">
        <f>_xlfn.RANK.EQ(Tabulka59121527333945[[#This Row],[Body]],Tabulka59121527333945[Body],0)</f>
        <v>14</v>
      </c>
      <c r="AI17" s="51" t="s">
        <v>24</v>
      </c>
      <c r="AJ17" s="29">
        <f>VLOOKUP(Tabulka59121527333945[[#This Row],[Tým]],Tabulka38111426323844[[Tým]:[Body]],6,FALSE)+Tabulka59121527333945[[#This Row],[ ]]</f>
        <v>70</v>
      </c>
      <c r="AK17" s="82">
        <f>VLOOKUP(Tabulka59121527333945[[#This Row],[Tým]],Tabulka591215273339[[Tým]:[Body]],2,FALSE)</f>
        <v>55</v>
      </c>
      <c r="AL17" s="47">
        <f>Tabulka59121527333945[[#This Row],[Umístění]]</f>
        <v>14</v>
      </c>
      <c r="AM17" s="15"/>
      <c r="AP17" s="1"/>
    </row>
    <row r="18" spans="2:42" ht="24.95" customHeight="1" x14ac:dyDescent="0.4">
      <c r="B18" s="11" t="s">
        <v>46</v>
      </c>
      <c r="C18" s="1">
        <f>IF(Tabulka17101325313743[[#This Row],[ ]]="","",IF(Tabulka17101325313743[[#This Row],[ ]]="NEÚČAST","",IF(OR(Tabulka17101325313743[Výsledný čas]="N",Tabulka17101325313743[Výsledný čas]="D"),$L$4-$L$5,_xlfn.RANK.EQ(Tabulka17101325313743[[#This Row],[ ]],Tabulka17101325313743[[ ]],1))))</f>
        <v>15</v>
      </c>
      <c r="D18" s="12" t="s">
        <v>14</v>
      </c>
      <c r="E18" s="342">
        <v>17.63</v>
      </c>
      <c r="F18" s="342">
        <v>17.489999999999998</v>
      </c>
      <c r="G18" s="237">
        <f>IF(OR(Tabulka17101325313743[[#This Row],[LP]]="N",Tabulka17101325313743[[#This Row],[PP]]="N"),"N",IF(OR(Tabulka17101325313743[[#This Row],[LP]]="D",Tabulka17101325313743[[#This Row],[PP]]="D"),"D",IF(OR(Tabulka17101325313743[[#This Row],[LP]]="NEÚČAST",Tabulka17101325313743[[#This Row],[PP]]="NEÚČAST"),"NEÚČAST",IF(OR(Tabulka17101325313743[[#This Row],[LP]]="",Tabulka17101325313743[[#This Row],[PP]]=""),"",MAX(Tabulka17101325313743[[#This Row],[LP]:[PP]])))))</f>
        <v>17.63</v>
      </c>
      <c r="H18" s="1">
        <f>COUNTIF(Tabulka17101325313743[[#This Row],[Tým]],"*")</f>
        <v>1</v>
      </c>
      <c r="I18" s="1">
        <f>COUNTIF(Tabulka17101325313743[[#This Row],[Výsledný čas]],"NEÚČAST")</f>
        <v>0</v>
      </c>
      <c r="J18" s="1">
        <f>IF(Tabulka17101325313743[[#This Row],[Výsledný čas]]="N",998,IF(Tabulka17101325313743[[#This Row],[Výsledný čas]]="D",998,IF(Tabulka17101325313743[[#This Row],[Výsledný čas]]="","",Tabulka17101325313743[[#This Row],[Výsledný čas]])))</f>
        <v>17.63</v>
      </c>
      <c r="N18" s="68"/>
      <c r="P18" s="7"/>
      <c r="Q18" s="8"/>
      <c r="R18" s="8"/>
      <c r="Z18" s="63">
        <f>IF(OR(Tabulka38111426323844[Výsledný čas]="N",Tabulka38111426323844[Výsledný čas]="D",Tabulka38111426323844[Výsledný čas]="NEÚČAST"),Uvod!$E$4,_xlfn.RANK.EQ(Tabulka38111426323844[[#This Row],[ ]],Tabulka38111426323844[[ ]],1))</f>
        <v>15</v>
      </c>
      <c r="AA18" s="51" t="s">
        <v>31</v>
      </c>
      <c r="AB18" s="348">
        <f>VLOOKUP(Tabulka38111426323844[[#This Row],[Tým]],Tabulka17101325313743[[Tým]:[ ]],2,FALSE)</f>
        <v>15.69</v>
      </c>
      <c r="AC18" s="348">
        <f>VLOOKUP(Tabulka38111426323844[[#This Row],[Tým]],Tabulka17101325313743[[Tým]:[ ]],3,FALSE)</f>
        <v>18.39</v>
      </c>
      <c r="AD18" s="348">
        <f>VLOOKUP(Tabulka38111426323844[[#This Row],[Tým]],Tabulka17101325313743[[Tým]:[ ]],4,FALSE)</f>
        <v>18.39</v>
      </c>
      <c r="AE18" s="25">
        <f>VLOOKUP(Tabulka38111426323844[[#This Row],[Tým]],Tabulka17101325313743[[Tým]:[ ]],7,FALSE)</f>
        <v>18.39</v>
      </c>
      <c r="AF18" s="29">
        <f>IF(Tabulka38111426323844[[#This Row],[Výsledný čas]]="N",5,IF(Tabulka38111426323844[[#This Row],[Výsledný čas]]="D",0,IF(Tabulka38111426323844[[#This Row],[Výsledný čas]]="NEÚČAST",0,Tabulka4[[#Totals],[Týmy muži]]+6-Tabulka38111426323844[[#This Row],[Umístění]])))</f>
        <v>10</v>
      </c>
      <c r="AH18" s="31">
        <f>_xlfn.RANK.EQ(Tabulka59121527333945[[#This Row],[Body]],Tabulka59121527333945[Body],0)</f>
        <v>15</v>
      </c>
      <c r="AI18" s="51" t="s">
        <v>6</v>
      </c>
      <c r="AJ18" s="29">
        <f>VLOOKUP(Tabulka59121527333945[[#This Row],[Tým]],Tabulka38111426323844[[Tým]:[Body]],6,FALSE)+Tabulka59121527333945[[#This Row],[ ]]</f>
        <v>68</v>
      </c>
      <c r="AK18" s="82">
        <f>VLOOKUP(Tabulka59121527333945[[#This Row],[Tým]],Tabulka591215273339[[Tým]:[Body]],2,FALSE)</f>
        <v>54</v>
      </c>
      <c r="AL18" s="47">
        <f>Tabulka59121527333945[[#This Row],[Umístění]]</f>
        <v>15</v>
      </c>
      <c r="AM18" s="15"/>
      <c r="AP18" s="1"/>
    </row>
    <row r="19" spans="2:42" ht="24.95" customHeight="1" x14ac:dyDescent="0.4">
      <c r="B19" s="6" t="s">
        <v>102</v>
      </c>
      <c r="C19" s="1">
        <f>IF(Tabulka17101325313743[[#This Row],[ ]]="","",IF(Tabulka17101325313743[[#This Row],[ ]]="NEÚČAST","",IF(OR(Tabulka17101325313743[Výsledný čas]="N",Tabulka17101325313743[Výsledný čas]="D"),$L$4-$L$5,_xlfn.RANK.EQ(Tabulka17101325313743[[#This Row],[ ]],Tabulka17101325313743[[ ]],1))))</f>
        <v>16</v>
      </c>
      <c r="D19" s="7" t="s">
        <v>11</v>
      </c>
      <c r="E19" s="342">
        <v>17.72</v>
      </c>
      <c r="F19" s="342">
        <v>17.09</v>
      </c>
      <c r="G19" s="237">
        <f>IF(OR(Tabulka17101325313743[[#This Row],[LP]]="N",Tabulka17101325313743[[#This Row],[PP]]="N"),"N",IF(OR(Tabulka17101325313743[[#This Row],[LP]]="D",Tabulka17101325313743[[#This Row],[PP]]="D"),"D",IF(OR(Tabulka17101325313743[[#This Row],[LP]]="NEÚČAST",Tabulka17101325313743[[#This Row],[PP]]="NEÚČAST"),"NEÚČAST",IF(OR(Tabulka17101325313743[[#This Row],[LP]]="",Tabulka17101325313743[[#This Row],[PP]]=""),"",MAX(Tabulka17101325313743[[#This Row],[LP]:[PP]])))))</f>
        <v>17.72</v>
      </c>
      <c r="H19" s="1">
        <f>COUNTIF(Tabulka17101325313743[[#This Row],[Tým]],"*")</f>
        <v>1</v>
      </c>
      <c r="I19" s="1">
        <f>COUNTIF(Tabulka17101325313743[[#This Row],[Výsledný čas]],"NEÚČAST")</f>
        <v>0</v>
      </c>
      <c r="J19" s="1">
        <f>IF(Tabulka17101325313743[[#This Row],[Výsledný čas]]="N",998,IF(Tabulka17101325313743[[#This Row],[Výsledný čas]]="D",998,IF(Tabulka17101325313743[[#This Row],[Výsledný čas]]="","",Tabulka17101325313743[[#This Row],[Výsledný čas]])))</f>
        <v>17.72</v>
      </c>
      <c r="N19" s="70"/>
      <c r="P19" s="7"/>
      <c r="Q19" s="8"/>
      <c r="R19" s="8"/>
      <c r="Z19" s="63">
        <f>IF(OR(Tabulka38111426323844[Výsledný čas]="N",Tabulka38111426323844[Výsledný čas]="D",Tabulka38111426323844[Výsledný čas]="NEÚČAST"),Uvod!$E$4,_xlfn.RANK.EQ(Tabulka38111426323844[[#This Row],[ ]],Tabulka38111426323844[[ ]],1))</f>
        <v>16</v>
      </c>
      <c r="AA19" s="51" t="s">
        <v>32</v>
      </c>
      <c r="AB19" s="348">
        <f>VLOOKUP(Tabulka38111426323844[[#This Row],[Tým]],Tabulka17101325313743[[Tým]:[ ]],2,FALSE)</f>
        <v>18.54</v>
      </c>
      <c r="AC19" s="348">
        <f>VLOOKUP(Tabulka38111426323844[[#This Row],[Tým]],Tabulka17101325313743[[Tým]:[ ]],3,FALSE)</f>
        <v>18.350000000000001</v>
      </c>
      <c r="AD19" s="348">
        <f>VLOOKUP(Tabulka38111426323844[[#This Row],[Tým]],Tabulka17101325313743[[Tým]:[ ]],4,FALSE)</f>
        <v>18.54</v>
      </c>
      <c r="AE19" s="25">
        <f>VLOOKUP(Tabulka38111426323844[[#This Row],[Tým]],Tabulka17101325313743[[Tým]:[ ]],7,FALSE)</f>
        <v>18.54</v>
      </c>
      <c r="AF19" s="29">
        <f>IF(Tabulka38111426323844[[#This Row],[Výsledný čas]]="N",5,IF(Tabulka38111426323844[[#This Row],[Výsledný čas]]="D",0,IF(Tabulka38111426323844[[#This Row],[Výsledný čas]]="NEÚČAST",0,Tabulka4[[#Totals],[Týmy muži]]+6-Tabulka38111426323844[[#This Row],[Umístění]])))</f>
        <v>9</v>
      </c>
      <c r="AH19" s="31">
        <f>_xlfn.RANK.EQ(Tabulka59121527333945[[#This Row],[Body]],Tabulka59121527333945[Body],0)</f>
        <v>16</v>
      </c>
      <c r="AI19" s="51" t="s">
        <v>32</v>
      </c>
      <c r="AJ19" s="29">
        <f>VLOOKUP(Tabulka59121527333945[[#This Row],[Tým]],Tabulka38111426323844[[Tým]:[Body]],6,FALSE)+Tabulka59121527333945[[#This Row],[ ]]</f>
        <v>66</v>
      </c>
      <c r="AK19" s="82">
        <f>VLOOKUP(Tabulka59121527333945[[#This Row],[Tým]],Tabulka591215273339[[Tým]:[Body]],2,FALSE)</f>
        <v>57</v>
      </c>
      <c r="AL19" s="47">
        <f>Tabulka59121527333945[[#This Row],[Umístění]]</f>
        <v>16</v>
      </c>
      <c r="AM19" s="15"/>
      <c r="AP19" s="1"/>
    </row>
    <row r="20" spans="2:42" ht="24.95" customHeight="1" thickBot="1" x14ac:dyDescent="0.45">
      <c r="B20" s="11" t="s">
        <v>105</v>
      </c>
      <c r="C20" s="1">
        <f>IF(Tabulka17101325313743[[#This Row],[ ]]="","",IF(Tabulka17101325313743[[#This Row],[ ]]="NEÚČAST","",IF(OR(Tabulka17101325313743[Výsledný čas]="N",Tabulka17101325313743[Výsledný čas]="D"),$L$4-$L$5,_xlfn.RANK.EQ(Tabulka17101325313743[[#This Row],[ ]],Tabulka17101325313743[[ ]],1))))</f>
        <v>17</v>
      </c>
      <c r="D20" s="7" t="s">
        <v>25</v>
      </c>
      <c r="E20" s="342">
        <v>18.18</v>
      </c>
      <c r="F20" s="342">
        <v>17.62</v>
      </c>
      <c r="G20" s="237">
        <f>IF(OR(Tabulka17101325313743[[#This Row],[LP]]="N",Tabulka17101325313743[[#This Row],[PP]]="N"),"N",IF(OR(Tabulka17101325313743[[#This Row],[LP]]="D",Tabulka17101325313743[[#This Row],[PP]]="D"),"D",IF(OR(Tabulka17101325313743[[#This Row],[LP]]="NEÚČAST",Tabulka17101325313743[[#This Row],[PP]]="NEÚČAST"),"NEÚČAST",IF(OR(Tabulka17101325313743[[#This Row],[LP]]="",Tabulka17101325313743[[#This Row],[PP]]=""),"",MAX(Tabulka17101325313743[[#This Row],[LP]:[PP]])))))</f>
        <v>18.18</v>
      </c>
      <c r="H20" s="1">
        <f>COUNTIF(Tabulka17101325313743[[#This Row],[Tým]],"*")</f>
        <v>1</v>
      </c>
      <c r="I20" s="1">
        <f>COUNTIF(Tabulka17101325313743[[#This Row],[Výsledný čas]],"NEÚČAST")</f>
        <v>0</v>
      </c>
      <c r="J20" s="1">
        <f>IF(Tabulka17101325313743[[#This Row],[Výsledný čas]]="N",998,IF(Tabulka17101325313743[[#This Row],[Výsledný čas]]="D",998,IF(Tabulka17101325313743[[#This Row],[Výsledný čas]]="","",Tabulka17101325313743[[#This Row],[Výsledný čas]])))</f>
        <v>18.18</v>
      </c>
      <c r="P20" s="7"/>
      <c r="Q20" s="8"/>
      <c r="R20" s="8"/>
      <c r="Z20" s="63">
        <f>IF(OR(Tabulka38111426323844[Výsledný čas]="N",Tabulka38111426323844[Výsledný čas]="D",Tabulka38111426323844[Výsledný čas]="NEÚČAST"),Uvod!$E$4,_xlfn.RANK.EQ(Tabulka38111426323844[[#This Row],[ ]],Tabulka38111426323844[[ ]],1))</f>
        <v>17</v>
      </c>
      <c r="AA20" s="51" t="s">
        <v>15</v>
      </c>
      <c r="AB20" s="348">
        <f>VLOOKUP(Tabulka38111426323844[[#This Row],[Tým]],Tabulka17101325313743[[Tým]:[ ]],2,FALSE)</f>
        <v>19.98</v>
      </c>
      <c r="AC20" s="348">
        <f>VLOOKUP(Tabulka38111426323844[[#This Row],[Tým]],Tabulka17101325313743[[Tým]:[ ]],3,FALSE)</f>
        <v>19.09</v>
      </c>
      <c r="AD20" s="348">
        <f>VLOOKUP(Tabulka38111426323844[[#This Row],[Tým]],Tabulka17101325313743[[Tým]:[ ]],4,FALSE)</f>
        <v>19.98</v>
      </c>
      <c r="AE20" s="25">
        <f>VLOOKUP(Tabulka38111426323844[[#This Row],[Tým]],Tabulka17101325313743[[Tým]:[ ]],7,FALSE)</f>
        <v>19.98</v>
      </c>
      <c r="AF20" s="29">
        <f>IF(Tabulka38111426323844[[#This Row],[Výsledný čas]]="N",5,IF(Tabulka38111426323844[[#This Row],[Výsledný čas]]="D",0,IF(Tabulka38111426323844[[#This Row],[Výsledný čas]]="NEÚČAST",0,Tabulka4[[#Totals],[Týmy muži]]+6-Tabulka38111426323844[[#This Row],[Umístění]])))</f>
        <v>8</v>
      </c>
      <c r="AH20" s="31">
        <f>_xlfn.RANK.EQ(Tabulka59121527333945[[#This Row],[Body]],Tabulka59121527333945[Body],0)</f>
        <v>17</v>
      </c>
      <c r="AI20" s="97" t="s">
        <v>33</v>
      </c>
      <c r="AJ20" s="29">
        <f>VLOOKUP(Tabulka59121527333945[[#This Row],[Tým]],Tabulka38111426323844[[Tým]:[Body]],6,FALSE)+Tabulka59121527333945[[#This Row],[ ]]</f>
        <v>55</v>
      </c>
      <c r="AK20" s="83">
        <f>VLOOKUP(Tabulka59121527333945[[#This Row],[Tým]],Tabulka591215273339[[Tým]:[Body]],2,FALSE)</f>
        <v>48</v>
      </c>
      <c r="AL20" s="93">
        <f>Tabulka59121527333945[[#This Row],[Umístění]]</f>
        <v>17</v>
      </c>
      <c r="AM20" s="15"/>
      <c r="AP20" s="1"/>
    </row>
    <row r="21" spans="2:42" ht="24.95" customHeight="1" x14ac:dyDescent="0.4">
      <c r="B21" s="6" t="s">
        <v>54</v>
      </c>
      <c r="C21" s="1">
        <f>IF(Tabulka17101325313743[[#This Row],[ ]]="","",IF(Tabulka17101325313743[[#This Row],[ ]]="NEÚČAST","",IF(OR(Tabulka17101325313743[Výsledný čas]="N",Tabulka17101325313743[Výsledný čas]="D"),$L$4-$L$5,_xlfn.RANK.EQ(Tabulka17101325313743[[#This Row],[ ]],Tabulka17101325313743[[ ]],1))))</f>
        <v>18</v>
      </c>
      <c r="D21" s="7" t="s">
        <v>31</v>
      </c>
      <c r="E21" s="13">
        <v>15.69</v>
      </c>
      <c r="F21" s="342">
        <v>18.39</v>
      </c>
      <c r="G21" s="237">
        <f>IF(OR(Tabulka17101325313743[[#This Row],[LP]]="N",Tabulka17101325313743[[#This Row],[PP]]="N"),"N",IF(OR(Tabulka17101325313743[[#This Row],[LP]]="D",Tabulka17101325313743[[#This Row],[PP]]="D"),"D",IF(OR(Tabulka17101325313743[[#This Row],[LP]]="NEÚČAST",Tabulka17101325313743[[#This Row],[PP]]="NEÚČAST"),"NEÚČAST",IF(OR(Tabulka17101325313743[[#This Row],[LP]]="",Tabulka17101325313743[[#This Row],[PP]]=""),"",MAX(Tabulka17101325313743[[#This Row],[LP]:[PP]])))))</f>
        <v>18.39</v>
      </c>
      <c r="H21" s="1">
        <f>COUNTIF(Tabulka17101325313743[[#This Row],[Tým]],"*")</f>
        <v>1</v>
      </c>
      <c r="I21" s="1">
        <f>COUNTIF(Tabulka17101325313743[[#This Row],[Výsledný čas]],"NEÚČAST")</f>
        <v>0</v>
      </c>
      <c r="J21" s="1">
        <f>IF(Tabulka17101325313743[[#This Row],[Výsledný čas]]="N",998,IF(Tabulka17101325313743[[#This Row],[Výsledný čas]]="D",998,IF(Tabulka17101325313743[[#This Row],[Výsledný čas]]="","",Tabulka17101325313743[[#This Row],[Výsledný čas]])))</f>
        <v>18.39</v>
      </c>
      <c r="P21" s="7"/>
      <c r="Q21" s="8"/>
      <c r="R21" s="8"/>
      <c r="Z21" s="63">
        <f>IF(OR(Tabulka38111426323844[Výsledný čas]="N",Tabulka38111426323844[Výsledný čas]="D",Tabulka38111426323844[Výsledný čas]="NEÚČAST"),Uvod!$E$4,_xlfn.RANK.EQ(Tabulka38111426323844[[#This Row],[ ]],Tabulka38111426323844[[ ]],1))</f>
        <v>18</v>
      </c>
      <c r="AA21" s="97" t="s">
        <v>33</v>
      </c>
      <c r="AB21" s="348">
        <f>VLOOKUP(Tabulka38111426323844[[#This Row],[Tým]],Tabulka17101325313743[[Tým]:[ ]],2,FALSE)</f>
        <v>20.41</v>
      </c>
      <c r="AC21" s="348">
        <f>VLOOKUP(Tabulka38111426323844[[#This Row],[Tým]],Tabulka17101325313743[[Tým]:[ ]],3,FALSE)</f>
        <v>20.05</v>
      </c>
      <c r="AD21" s="348">
        <f>VLOOKUP(Tabulka38111426323844[[#This Row],[Tým]],Tabulka17101325313743[[Tým]:[ ]],4,FALSE)</f>
        <v>20.41</v>
      </c>
      <c r="AE21" s="25">
        <f>VLOOKUP(Tabulka38111426323844[[#This Row],[Tým]],Tabulka17101325313743[[Tým]:[ ]],7,FALSE)</f>
        <v>20.41</v>
      </c>
      <c r="AF21" s="29">
        <f>IF(Tabulka38111426323844[[#This Row],[Výsledný čas]]="N",5,IF(Tabulka38111426323844[[#This Row],[Výsledný čas]]="D",0,IF(Tabulka38111426323844[[#This Row],[Výsledný čas]]="NEÚČAST",0,Tabulka4[[#Totals],[Týmy muži]]+6-Tabulka38111426323844[[#This Row],[Umístění]])))</f>
        <v>7</v>
      </c>
      <c r="AH21" s="31">
        <f>_xlfn.RANK.EQ(Tabulka59121527333945[[#This Row],[Body]],Tabulka59121527333945[Body],0)</f>
        <v>18</v>
      </c>
      <c r="AI21" s="51" t="s">
        <v>31</v>
      </c>
      <c r="AJ21" s="29">
        <f>VLOOKUP(Tabulka59121527333945[[#This Row],[Tým]],Tabulka38111426323844[[Tým]:[Body]],6,FALSE)+Tabulka59121527333945[[#This Row],[ ]]</f>
        <v>52</v>
      </c>
      <c r="AK21" s="82">
        <f>VLOOKUP(Tabulka59121527333945[[#This Row],[Tým]],Tabulka591215273339[[Tým]:[Body]],2,FALSE)</f>
        <v>42</v>
      </c>
      <c r="AL21" s="47">
        <f>Tabulka59121527333945[[#This Row],[Umístění]]</f>
        <v>18</v>
      </c>
    </row>
    <row r="22" spans="2:42" ht="24.95" customHeight="1" thickBot="1" x14ac:dyDescent="0.45">
      <c r="B22" s="6" t="s">
        <v>61</v>
      </c>
      <c r="C22" s="1">
        <f>IF(Tabulka17101325313743[[#This Row],[ ]]="","",IF(Tabulka17101325313743[[#This Row],[ ]]="NEÚČAST","",IF(OR(Tabulka17101325313743[Výsledný čas]="N",Tabulka17101325313743[Výsledný čas]="D"),$L$4-$L$5,_xlfn.RANK.EQ(Tabulka17101325313743[[#This Row],[ ]],Tabulka17101325313743[[ ]],1))))</f>
        <v>19</v>
      </c>
      <c r="D22" s="7" t="s">
        <v>127</v>
      </c>
      <c r="E22" s="342">
        <v>18.52</v>
      </c>
      <c r="F22" s="342">
        <v>16.22</v>
      </c>
      <c r="G22" s="237">
        <f>IF(OR(Tabulka17101325313743[[#This Row],[LP]]="N",Tabulka17101325313743[[#This Row],[PP]]="N"),"N",IF(OR(Tabulka17101325313743[[#This Row],[LP]]="D",Tabulka17101325313743[[#This Row],[PP]]="D"),"D",IF(OR(Tabulka17101325313743[[#This Row],[LP]]="NEÚČAST",Tabulka17101325313743[[#This Row],[PP]]="NEÚČAST"),"NEÚČAST",IF(OR(Tabulka17101325313743[[#This Row],[LP]]="",Tabulka17101325313743[[#This Row],[PP]]=""),"",MAX(Tabulka17101325313743[[#This Row],[LP]:[PP]])))))</f>
        <v>18.52</v>
      </c>
      <c r="H22" s="1">
        <f>COUNTIF(Tabulka17101325313743[[#This Row],[Tým]],"*")</f>
        <v>1</v>
      </c>
      <c r="I22" s="1">
        <f>COUNTIF(Tabulka17101325313743[[#This Row],[Výsledný čas]],"NEÚČAST")</f>
        <v>0</v>
      </c>
      <c r="J22" s="1">
        <f>IF(Tabulka17101325313743[[#This Row],[Výsledný čas]]="N",998,IF(Tabulka17101325313743[[#This Row],[Výsledný čas]]="D",998,IF(Tabulka17101325313743[[#This Row],[Výsledný čas]]="","",Tabulka17101325313743[[#This Row],[Výsledný čas]])))</f>
        <v>18.52</v>
      </c>
      <c r="N22" s="68"/>
      <c r="P22" s="10"/>
      <c r="Q22" s="8"/>
      <c r="R22" s="8"/>
      <c r="Z22" s="64">
        <f>IF(OR(Tabulka38111426323844[Výsledný čas]="N",Tabulka38111426323844[Výsledný čas]="D",Tabulka38111426323844[Výsledný čas]="NEÚČAST"),Uvod!$E$4,_xlfn.RANK.EQ(Tabulka38111426323844[[#This Row],[ ]],Tabulka38111426323844[[ ]],1))</f>
        <v>19</v>
      </c>
      <c r="AA22" s="98" t="s">
        <v>17</v>
      </c>
      <c r="AB22" s="349">
        <f>VLOOKUP(Tabulka38111426323844[[#This Row],[Tým]],Tabulka17101325313743[[Tým]:[ ]],2,FALSE)</f>
        <v>21.75</v>
      </c>
      <c r="AC22" s="349">
        <f>VLOOKUP(Tabulka38111426323844[[#This Row],[Tým]],Tabulka17101325313743[[Tým]:[ ]],3,FALSE)</f>
        <v>21.67</v>
      </c>
      <c r="AD22" s="349">
        <f>VLOOKUP(Tabulka38111426323844[[#This Row],[Tým]],Tabulka17101325313743[[Tým]:[ ]],4,FALSE)</f>
        <v>21.75</v>
      </c>
      <c r="AE22" s="34">
        <f>VLOOKUP(Tabulka38111426323844[[#This Row],[Tým]],Tabulka17101325313743[[Tým]:[ ]],7,FALSE)</f>
        <v>21.75</v>
      </c>
      <c r="AF22" s="36">
        <f>IF(Tabulka38111426323844[[#This Row],[Výsledný čas]]="N",5,IF(Tabulka38111426323844[[#This Row],[Výsledný čas]]="D",0,IF(Tabulka38111426323844[[#This Row],[Výsledný čas]]="NEÚČAST",0,Tabulka4[[#Totals],[Týmy muži]]+6-Tabulka38111426323844[[#This Row],[Umístění]])))</f>
        <v>6</v>
      </c>
      <c r="AH22" s="33">
        <f>_xlfn.RANK.EQ(Tabulka59121527333945[[#This Row],[Body]],Tabulka59121527333945[Body],0)</f>
        <v>19</v>
      </c>
      <c r="AI22" s="98" t="s">
        <v>17</v>
      </c>
      <c r="AJ22" s="36">
        <f>VLOOKUP(Tabulka59121527333945[[#This Row],[Tým]],Tabulka38111426323844[[Tým]:[Body]],6,FALSE)+Tabulka59121527333945[[#This Row],[ ]]</f>
        <v>36</v>
      </c>
      <c r="AK22" s="82">
        <f>VLOOKUP(Tabulka59121527333945[[#This Row],[Tým]],Tabulka591215273339[[Tým]:[Body]],2,FALSE)</f>
        <v>30</v>
      </c>
      <c r="AL22" s="47">
        <f>Tabulka59121527333945[[#This Row],[Umístění]]</f>
        <v>19</v>
      </c>
    </row>
    <row r="23" spans="2:42" ht="24.95" customHeight="1" x14ac:dyDescent="0.4">
      <c r="B23" s="6" t="s">
        <v>107</v>
      </c>
      <c r="C23" s="331">
        <f>IF(Tabulka17101325313743[[#This Row],[ ]]="","",IF(Tabulka17101325313743[[#This Row],[ ]]="NEÚČAST","",IF(OR(Tabulka17101325313743[Výsledný čas]="N",Tabulka17101325313743[Výsledný čas]="D"),$L$4-$L$5,_xlfn.RANK.EQ(Tabulka17101325313743[[#This Row],[ ]],Tabulka17101325313743[[ ]],1))))</f>
        <v>20</v>
      </c>
      <c r="D23" s="14" t="s">
        <v>32</v>
      </c>
      <c r="E23" s="342">
        <v>18.54</v>
      </c>
      <c r="F23" s="342">
        <v>18.350000000000001</v>
      </c>
      <c r="G23" s="237">
        <f>IF(OR(Tabulka17101325313743[[#This Row],[LP]]="N",Tabulka17101325313743[[#This Row],[PP]]="N"),"N",IF(OR(Tabulka17101325313743[[#This Row],[LP]]="D",Tabulka17101325313743[[#This Row],[PP]]="D"),"D",IF(OR(Tabulka17101325313743[[#This Row],[LP]]="NEÚČAST",Tabulka17101325313743[[#This Row],[PP]]="NEÚČAST"),"NEÚČAST",IF(OR(Tabulka17101325313743[[#This Row],[LP]]="",Tabulka17101325313743[[#This Row],[PP]]=""),"",MAX(Tabulka17101325313743[[#This Row],[LP]:[PP]])))))</f>
        <v>18.54</v>
      </c>
      <c r="H23" s="331">
        <f>COUNTIF(Tabulka17101325313743[[#This Row],[Tým]],"*")</f>
        <v>1</v>
      </c>
      <c r="I23" s="331">
        <f>COUNTIF(Tabulka17101325313743[[#This Row],[Výsledný čas]],"NEÚČAST")</f>
        <v>0</v>
      </c>
      <c r="J23" s="331">
        <f>IF(Tabulka17101325313743[[#This Row],[Výsledný čas]]="N",998,IF(Tabulka17101325313743[[#This Row],[Výsledný čas]]="D",998,IF(Tabulka17101325313743[[#This Row],[Výsledný čas]]="","",Tabulka17101325313743[[#This Row],[Výsledný čas]])))</f>
        <v>18.54</v>
      </c>
      <c r="N23" s="70"/>
      <c r="P23" s="10"/>
      <c r="Q23" s="8"/>
      <c r="R23" s="8"/>
      <c r="AB23" s="3"/>
      <c r="AC23" s="3"/>
      <c r="AL23" s="15"/>
    </row>
    <row r="24" spans="2:42" ht="24.95" customHeight="1" thickBot="1" x14ac:dyDescent="0.45">
      <c r="B24" s="11" t="s">
        <v>63</v>
      </c>
      <c r="C24" s="331">
        <f>IF(Tabulka17101325313743[[#This Row],[ ]]="","",IF(Tabulka17101325313743[[#This Row],[ ]]="NEÚČAST","",IF(OR(Tabulka17101325313743[Výsledný čas]="N",Tabulka17101325313743[Výsledný čas]="D"),$L$4-$L$5,_xlfn.RANK.EQ(Tabulka17101325313743[[#This Row],[ ]],Tabulka17101325313743[[ ]],1))))</f>
        <v>21</v>
      </c>
      <c r="D24" s="7" t="s">
        <v>15</v>
      </c>
      <c r="E24" s="342">
        <v>19.98</v>
      </c>
      <c r="F24" s="342">
        <v>19.09</v>
      </c>
      <c r="G24" s="237">
        <f>IF(OR(Tabulka17101325313743[[#This Row],[LP]]="N",Tabulka17101325313743[[#This Row],[PP]]="N"),"N",IF(OR(Tabulka17101325313743[[#This Row],[LP]]="D",Tabulka17101325313743[[#This Row],[PP]]="D"),"D",IF(OR(Tabulka17101325313743[[#This Row],[LP]]="NEÚČAST",Tabulka17101325313743[[#This Row],[PP]]="NEÚČAST"),"NEÚČAST",IF(OR(Tabulka17101325313743[[#This Row],[LP]]="",Tabulka17101325313743[[#This Row],[PP]]=""),"",MAX(Tabulka17101325313743[[#This Row],[LP]:[PP]])))))</f>
        <v>19.98</v>
      </c>
      <c r="H24" s="331">
        <f>COUNTIF(Tabulka17101325313743[[#This Row],[Tým]],"*")</f>
        <v>1</v>
      </c>
      <c r="I24" s="331">
        <f>COUNTIF(Tabulka17101325313743[[#This Row],[Výsledný čas]],"NEÚČAST")</f>
        <v>0</v>
      </c>
      <c r="J24" s="331">
        <f>IF(Tabulka17101325313743[[#This Row],[Výsledný čas]]="N",998,IF(Tabulka17101325313743[[#This Row],[Výsledný čas]]="D",998,IF(Tabulka17101325313743[[#This Row],[Výsledný čas]]="","",Tabulka17101325313743[[#This Row],[Výsledný čas]])))</f>
        <v>19.98</v>
      </c>
      <c r="P24" s="10"/>
      <c r="Q24" s="8"/>
      <c r="R24" s="8"/>
      <c r="AB24" s="3"/>
      <c r="AC24" s="3"/>
      <c r="AL24" s="15"/>
    </row>
    <row r="25" spans="2:42" ht="24.95" customHeight="1" x14ac:dyDescent="0.4">
      <c r="B25" s="15" t="s">
        <v>104</v>
      </c>
      <c r="C25" s="331">
        <f>IF(Tabulka17101325313743[[#This Row],[ ]]="","",IF(Tabulka17101325313743[[#This Row],[ ]]="NEÚČAST","",IF(OR(Tabulka17101325313743[Výsledný čas]="N",Tabulka17101325313743[Výsledný čas]="D"),$L$4-$L$5,_xlfn.RANK.EQ(Tabulka17101325313743[[#This Row],[ ]],Tabulka17101325313743[[ ]],1))))</f>
        <v>22</v>
      </c>
      <c r="D25" s="16" t="s">
        <v>33</v>
      </c>
      <c r="E25" s="343">
        <v>20.41</v>
      </c>
      <c r="F25" s="343">
        <v>20.05</v>
      </c>
      <c r="G25" s="237">
        <f>IF(OR(Tabulka17101325313743[[#This Row],[LP]]="N",Tabulka17101325313743[[#This Row],[PP]]="N"),"N",IF(OR(Tabulka17101325313743[[#This Row],[LP]]="D",Tabulka17101325313743[[#This Row],[PP]]="D"),"D",IF(OR(Tabulka17101325313743[[#This Row],[LP]]="NEÚČAST",Tabulka17101325313743[[#This Row],[PP]]="NEÚČAST"),"NEÚČAST",IF(OR(Tabulka17101325313743[[#This Row],[LP]]="",Tabulka17101325313743[[#This Row],[PP]]=""),"",MAX(Tabulka17101325313743[[#This Row],[LP]:[PP]])))))</f>
        <v>20.41</v>
      </c>
      <c r="H25" s="331">
        <f>COUNTIF(Tabulka17101325313743[[#This Row],[Tým]],"*")</f>
        <v>1</v>
      </c>
      <c r="I25" s="331">
        <f>COUNTIF(Tabulka17101325313743[[#This Row],[Výsledný čas]],"NEÚČAST")</f>
        <v>0</v>
      </c>
      <c r="J25" s="331">
        <f>IF(Tabulka17101325313743[[#This Row],[Výsledný čas]]="N",998,IF(Tabulka17101325313743[[#This Row],[Výsledný čas]]="D",998,IF(Tabulka17101325313743[[#This Row],[Výsledný čas]]="","",Tabulka17101325313743[[#This Row],[Výsledný čas]])))</f>
        <v>20.41</v>
      </c>
      <c r="P25" s="10"/>
      <c r="Q25" s="8"/>
      <c r="R25" s="8"/>
      <c r="Z25" s="308" t="str">
        <f>N2</f>
        <v xml:space="preserve">Výsledky - Soutěže 6. kola NHHL 14.7. 2023 Závada - ŽENY </v>
      </c>
      <c r="AA25" s="309"/>
      <c r="AB25" s="309"/>
      <c r="AC25" s="309"/>
      <c r="AD25" s="309"/>
      <c r="AE25" s="309"/>
      <c r="AF25" s="310"/>
      <c r="AH25" s="308" t="s">
        <v>130</v>
      </c>
      <c r="AI25" s="309"/>
      <c r="AJ25" s="309"/>
      <c r="AK25" s="310"/>
      <c r="AL25" s="15"/>
    </row>
    <row r="26" spans="2:42" ht="24.95" customHeight="1" thickBot="1" x14ac:dyDescent="0.45">
      <c r="B26" s="15" t="s">
        <v>43</v>
      </c>
      <c r="C26" s="331">
        <f>IF(Tabulka17101325313743[[#This Row],[ ]]="","",IF(Tabulka17101325313743[[#This Row],[ ]]="NEÚČAST","",IF(OR(Tabulka17101325313743[Výsledný čas]="N",Tabulka17101325313743[Výsledný čas]="D"),$L$4-$L$5,_xlfn.RANK.EQ(Tabulka17101325313743[[#This Row],[ ]],Tabulka17101325313743[[ ]],1))))</f>
        <v>23</v>
      </c>
      <c r="D26" s="16" t="s">
        <v>17</v>
      </c>
      <c r="E26" s="343">
        <v>21.75</v>
      </c>
      <c r="F26" s="343">
        <v>21.67</v>
      </c>
      <c r="G26" s="237">
        <f>IF(OR(Tabulka17101325313743[[#This Row],[LP]]="N",Tabulka17101325313743[[#This Row],[PP]]="N"),"N",IF(OR(Tabulka17101325313743[[#This Row],[LP]]="D",Tabulka17101325313743[[#This Row],[PP]]="D"),"D",IF(OR(Tabulka17101325313743[[#This Row],[LP]]="NEÚČAST",Tabulka17101325313743[[#This Row],[PP]]="NEÚČAST"),"NEÚČAST",IF(OR(Tabulka17101325313743[[#This Row],[LP]]="",Tabulka17101325313743[[#This Row],[PP]]=""),"",MAX(Tabulka17101325313743[[#This Row],[LP]:[PP]])))))</f>
        <v>21.75</v>
      </c>
      <c r="H26" s="331">
        <f>COUNTIF(Tabulka17101325313743[[#This Row],[Tým]],"*")</f>
        <v>1</v>
      </c>
      <c r="I26" s="331">
        <f>COUNTIF(Tabulka17101325313743[[#This Row],[Výsledný čas]],"NEÚČAST")</f>
        <v>0</v>
      </c>
      <c r="J26" s="331">
        <f>IF(Tabulka17101325313743[[#This Row],[Výsledný čas]]="N",998,IF(Tabulka17101325313743[[#This Row],[Výsledný čas]]="D",998,IF(Tabulka17101325313743[[#This Row],[Výsledný čas]]="","",Tabulka17101325313743[[#This Row],[Výsledný čas]])))</f>
        <v>21.75</v>
      </c>
      <c r="P26" s="10"/>
      <c r="Q26" s="8"/>
      <c r="R26" s="8"/>
      <c r="Z26" s="58" t="s">
        <v>1</v>
      </c>
      <c r="AA26" s="59" t="s">
        <v>2</v>
      </c>
      <c r="AB26" s="59" t="s">
        <v>3</v>
      </c>
      <c r="AC26" s="59" t="s">
        <v>4</v>
      </c>
      <c r="AD26" s="59" t="s">
        <v>5</v>
      </c>
      <c r="AE26" s="59" t="s">
        <v>27</v>
      </c>
      <c r="AF26" s="60" t="s">
        <v>7</v>
      </c>
      <c r="AH26" s="58" t="s">
        <v>1</v>
      </c>
      <c r="AI26" s="59" t="s">
        <v>2</v>
      </c>
      <c r="AJ26" s="59" t="s">
        <v>7</v>
      </c>
      <c r="AK26" s="29" t="s">
        <v>27</v>
      </c>
      <c r="AL26" s="94" t="s">
        <v>73</v>
      </c>
      <c r="AM26" s="15"/>
      <c r="AP26" s="1"/>
    </row>
    <row r="27" spans="2:42" ht="24.95" customHeight="1" x14ac:dyDescent="0.4">
      <c r="B27" s="15"/>
      <c r="C27" s="331">
        <f>IF(Tabulka17101325313743[[#This Row],[ ]]="","",IF(Tabulka17101325313743[[#This Row],[ ]]="NEÚČAST","",IF(OR(Tabulka17101325313743[Výsledný čas]="N",Tabulka17101325313743[Výsledný čas]="D"),$L$4-$L$5,_xlfn.RANK.EQ(Tabulka17101325313743[[#This Row],[ ]],Tabulka17101325313743[[ ]],1))))</f>
        <v>24</v>
      </c>
      <c r="D27" s="16" t="s">
        <v>12</v>
      </c>
      <c r="E27" s="343" t="s">
        <v>9</v>
      </c>
      <c r="F27" s="343" t="s">
        <v>9</v>
      </c>
      <c r="G27" s="237" t="str">
        <f>IF(OR(Tabulka17101325313743[[#This Row],[LP]]="N",Tabulka17101325313743[[#This Row],[PP]]="N"),"N",IF(OR(Tabulka17101325313743[[#This Row],[LP]]="D",Tabulka17101325313743[[#This Row],[PP]]="D"),"D",IF(OR(Tabulka17101325313743[[#This Row],[LP]]="NEÚČAST",Tabulka17101325313743[[#This Row],[PP]]="NEÚČAST"),"NEÚČAST",IF(OR(Tabulka17101325313743[[#This Row],[LP]]="",Tabulka17101325313743[[#This Row],[PP]]=""),"",MAX(Tabulka17101325313743[[#This Row],[LP]:[PP]])))))</f>
        <v>N</v>
      </c>
      <c r="H27" s="331">
        <f>COUNTIF(Tabulka17101325313743[[#This Row],[Tým]],"*")</f>
        <v>1</v>
      </c>
      <c r="I27" s="331">
        <f>COUNTIF(Tabulka17101325313743[[#This Row],[Výsledný čas]],"NEÚČAST")</f>
        <v>0</v>
      </c>
      <c r="J27" s="331">
        <f>IF(Tabulka17101325313743[[#This Row],[Výsledný čas]]="N",998,IF(Tabulka17101325313743[[#This Row],[Výsledný čas]]="D",998,IF(Tabulka17101325313743[[#This Row],[Výsledný čas]]="","",Tabulka17101325313743[[#This Row],[Výsledný čas]])))</f>
        <v>998</v>
      </c>
      <c r="N27" s="68"/>
      <c r="P27" s="7"/>
      <c r="Q27" s="8"/>
      <c r="R27" s="8"/>
      <c r="Z27" s="77">
        <f>IF(OR(Tabulka381114228344046[Výsledný čas]="N",Tabulka381114228344046[Výsledný čas]="D",Tabulka381114228344046[Výsledný čas]="NEÚČAST"),Uvod!$E$6,_xlfn.RANK.EQ(Tabulka381114228344046[[#This Row],[ ]],Tabulka381114228344046[[ ]],1))</f>
        <v>1</v>
      </c>
      <c r="AA27" s="78" t="s">
        <v>34</v>
      </c>
      <c r="AB27" s="347">
        <f>VLOOKUP(Tabulka381114228344046[[#This Row],[Tým]],Tabulka171013630364248[[Tým]:[ ]],2,FALSE)</f>
        <v>17.559999999999999</v>
      </c>
      <c r="AC27" s="347">
        <f>VLOOKUP(Tabulka381114228344046[[#This Row],[Tým]],Tabulka171013630364248[[Tým]:[ ]],3,FALSE)</f>
        <v>17.739999999999998</v>
      </c>
      <c r="AD27" s="347">
        <f>VLOOKUP(Tabulka381114228344046[[#This Row],[Tým]],Tabulka171013630364248[[Tým]:[ ]],4,FALSE)</f>
        <v>17.739999999999998</v>
      </c>
      <c r="AE27" s="80">
        <f>VLOOKUP(Tabulka381114228344046[[#This Row],[Tým]],Tabulka171013630364248[[Tým]:[ ]],7,FALSE)</f>
        <v>17.739999999999998</v>
      </c>
      <c r="AF27" s="81">
        <f>IF(Tabulka381114228344046[[#This Row],[Výsledný čas]]="N",5,IF(Tabulka381114228344046[[#This Row],[Výsledný čas]]="D",0,IF(Tabulka381114228344046[[#This Row],[Výsledný čas]]="NEÚČAST",0,Tabulka8[[#Totals],[Týmy ženy]]+6-Tabulka381114228344046[[#This Row],[Umístění]])))</f>
        <v>15</v>
      </c>
      <c r="AH27" s="77">
        <f>_xlfn.RANK.EQ(Tabulka591215329354147[[#This Row],[Body]],Tabulka591215329354147[Body],0)</f>
        <v>1</v>
      </c>
      <c r="AI27" s="78" t="s">
        <v>22</v>
      </c>
      <c r="AJ27" s="81">
        <f>VLOOKUP(Tabulka591215329354147[[#This Row],[Tým]],Tabulka381114228344046[[Tým]:[Body]],6,FALSE)+Tabulka591215329354147[[#This Row],[ ]]</f>
        <v>86</v>
      </c>
      <c r="AK27" s="75">
        <f>VLOOKUP(Tabulka591215329354147[[#This Row],[Tým]],Tabulka5912153293541[[Tým]:[Body]],2,FALSE)</f>
        <v>72</v>
      </c>
      <c r="AL27" s="92">
        <f>Tabulka591215329354147[[#This Row],[Umístění]]</f>
        <v>1</v>
      </c>
      <c r="AM27" s="15"/>
      <c r="AP27" s="1"/>
    </row>
    <row r="28" spans="2:42" ht="24.95" customHeight="1" x14ac:dyDescent="0.4">
      <c r="D28" s="16"/>
      <c r="N28" s="70"/>
      <c r="P28" s="7"/>
      <c r="Q28" s="8"/>
      <c r="R28" s="8"/>
      <c r="Z28" s="31">
        <f>IF(OR(Tabulka381114228344046[Výsledný čas]="N",Tabulka381114228344046[Výsledný čas]="D",Tabulka381114228344046[Výsledný čas]="NEÚČAST"),Uvod!$E$6,_xlfn.RANK.EQ(Tabulka381114228344046[[#This Row],[ ]],Tabulka381114228344046[[ ]],1))</f>
        <v>2</v>
      </c>
      <c r="AA28" s="51" t="s">
        <v>22</v>
      </c>
      <c r="AB28" s="348">
        <f>VLOOKUP(Tabulka381114228344046[[#This Row],[Tým]],Tabulka171013630364248[[Tým]:[ ]],2,FALSE)</f>
        <v>16.309999999999999</v>
      </c>
      <c r="AC28" s="348">
        <f>VLOOKUP(Tabulka381114228344046[[#This Row],[Tým]],Tabulka171013630364248[[Tým]:[ ]],3,FALSE)</f>
        <v>18.12</v>
      </c>
      <c r="AD28" s="348">
        <f>VLOOKUP(Tabulka381114228344046[[#This Row],[Tým]],Tabulka171013630364248[[Tým]:[ ]],4,FALSE)</f>
        <v>18.12</v>
      </c>
      <c r="AE28" s="25">
        <f>VLOOKUP(Tabulka381114228344046[[#This Row],[Tým]],Tabulka171013630364248[[Tým]:[ ]],7,FALSE)</f>
        <v>18.12</v>
      </c>
      <c r="AF28" s="29">
        <f>IF(Tabulka381114228344046[[#This Row],[Výsledný čas]]="N",5,IF(Tabulka381114228344046[[#This Row],[Výsledný čas]]="D",0,IF(Tabulka381114228344046[[#This Row],[Výsledný čas]]="NEÚČAST",0,Tabulka8[[#Totals],[Týmy ženy]]+6-Tabulka381114228344046[[#This Row],[Umístění]])))</f>
        <v>14</v>
      </c>
      <c r="AH28" s="31">
        <f>_xlfn.RANK.EQ(Tabulka591215329354147[[#This Row],[Body]],Tabulka591215329354147[Body],0)</f>
        <v>2</v>
      </c>
      <c r="AI28" s="51" t="s">
        <v>34</v>
      </c>
      <c r="AJ28" s="29">
        <f>VLOOKUP(Tabulka591215329354147[[#This Row],[Tým]],Tabulka381114228344046[[Tým]:[Body]],6,FALSE)+Tabulka591215329354147[[#This Row],[ ]]</f>
        <v>85</v>
      </c>
      <c r="AK28" s="75">
        <f>VLOOKUP(Tabulka591215329354147[[#This Row],[Tým]],Tabulka5912153293541[[Tým]:[Body]],2,FALSE)</f>
        <v>70</v>
      </c>
      <c r="AL28" s="47">
        <f>Tabulka591215329354147[[#This Row],[Umístění]]</f>
        <v>2</v>
      </c>
      <c r="AM28" s="15"/>
      <c r="AP28" s="1"/>
    </row>
    <row r="29" spans="2:42" ht="24.95" customHeight="1" x14ac:dyDescent="0.4">
      <c r="D29" s="16"/>
      <c r="P29" s="7"/>
      <c r="Q29" s="8"/>
      <c r="R29" s="8"/>
      <c r="Z29" s="31">
        <f>IF(OR(Tabulka381114228344046[Výsledný čas]="N",Tabulka381114228344046[Výsledný čas]="D",Tabulka381114228344046[Výsledný čas]="NEÚČAST"),Uvod!$E$6,_xlfn.RANK.EQ(Tabulka381114228344046[[#This Row],[ ]],Tabulka381114228344046[[ ]],1))</f>
        <v>3</v>
      </c>
      <c r="AA29" s="51" t="s">
        <v>16</v>
      </c>
      <c r="AB29" s="348">
        <f>VLOOKUP(Tabulka381114228344046[[#This Row],[Tým]],Tabulka171013630364248[[Tým]:[ ]],2,FALSE)</f>
        <v>19.489999999999998</v>
      </c>
      <c r="AC29" s="348">
        <f>VLOOKUP(Tabulka381114228344046[[#This Row],[Tým]],Tabulka171013630364248[[Tým]:[ ]],3,FALSE)</f>
        <v>19.48</v>
      </c>
      <c r="AD29" s="348">
        <f>VLOOKUP(Tabulka381114228344046[[#This Row],[Tým]],Tabulka171013630364248[[Tým]:[ ]],4,FALSE)</f>
        <v>19.489999999999998</v>
      </c>
      <c r="AE29" s="25">
        <f>VLOOKUP(Tabulka381114228344046[[#This Row],[Tým]],Tabulka171013630364248[[Tým]:[ ]],7,FALSE)</f>
        <v>19.489999999999998</v>
      </c>
      <c r="AF29" s="29">
        <f>IF(Tabulka381114228344046[[#This Row],[Výsledný čas]]="N",5,IF(Tabulka381114228344046[[#This Row],[Výsledný čas]]="D",0,IF(Tabulka381114228344046[[#This Row],[Výsledný čas]]="NEÚČAST",0,Tabulka8[[#Totals],[Týmy ženy]]+6-Tabulka381114228344046[[#This Row],[Umístění]])))</f>
        <v>13</v>
      </c>
      <c r="AH29" s="31">
        <f>_xlfn.RANK.EQ(Tabulka591215329354147[[#This Row],[Body]],Tabulka591215329354147[Body],0)</f>
        <v>3</v>
      </c>
      <c r="AI29" s="51" t="s">
        <v>35</v>
      </c>
      <c r="AJ29" s="29">
        <f>VLOOKUP(Tabulka591215329354147[[#This Row],[Tým]],Tabulka381114228344046[[Tým]:[Body]],6,FALSE)+Tabulka591215329354147[[#This Row],[ ]]</f>
        <v>70</v>
      </c>
      <c r="AK29" s="75">
        <f>VLOOKUP(Tabulka591215329354147[[#This Row],[Tým]],Tabulka5912153293541[[Tým]:[Body]],2,FALSE)</f>
        <v>65</v>
      </c>
      <c r="AL29" s="47">
        <f>Tabulka591215329354147[[#This Row],[Umístění]]</f>
        <v>3</v>
      </c>
      <c r="AP29" s="1"/>
    </row>
    <row r="30" spans="2:42" ht="24.95" customHeight="1" thickBot="1" x14ac:dyDescent="0.45">
      <c r="D30" s="16"/>
      <c r="P30" s="7"/>
      <c r="Q30" s="8"/>
      <c r="R30" s="8"/>
      <c r="Z30" s="31">
        <f>IF(OR(Tabulka381114228344046[Výsledný čas]="N",Tabulka381114228344046[Výsledný čas]="D",Tabulka381114228344046[Výsledný čas]="NEÚČAST"),Uvod!$E$6,_xlfn.RANK.EQ(Tabulka381114228344046[[#This Row],[ ]],Tabulka381114228344046[[ ]],1))</f>
        <v>4</v>
      </c>
      <c r="AA30" s="51" t="s">
        <v>36</v>
      </c>
      <c r="AB30" s="348">
        <f>VLOOKUP(Tabulka381114228344046[[#This Row],[Tým]],Tabulka171013630364248[[Tým]:[ ]],2,FALSE)</f>
        <v>19.95</v>
      </c>
      <c r="AC30" s="348">
        <f>VLOOKUP(Tabulka381114228344046[[#This Row],[Tým]],Tabulka171013630364248[[Tým]:[ ]],3,FALSE)</f>
        <v>19.96</v>
      </c>
      <c r="AD30" s="348">
        <f>VLOOKUP(Tabulka381114228344046[[#This Row],[Tým]],Tabulka171013630364248[[Tým]:[ ]],4,FALSE)</f>
        <v>19.96</v>
      </c>
      <c r="AE30" s="25">
        <f>VLOOKUP(Tabulka381114228344046[[#This Row],[Tým]],Tabulka171013630364248[[Tým]:[ ]],7,FALSE)</f>
        <v>19.96</v>
      </c>
      <c r="AF30" s="29">
        <f>IF(Tabulka381114228344046[[#This Row],[Výsledný čas]]="N",5,IF(Tabulka381114228344046[[#This Row],[Výsledný čas]]="D",0,IF(Tabulka381114228344046[[#This Row],[Výsledný čas]]="NEÚČAST",0,Tabulka8[[#Totals],[Týmy ženy]]+6-Tabulka381114228344046[[#This Row],[Umístění]])))</f>
        <v>12</v>
      </c>
      <c r="AH30" s="31">
        <f>_xlfn.RANK.EQ(Tabulka591215329354147[[#This Row],[Body]],Tabulka591215329354147[Body],0)</f>
        <v>4</v>
      </c>
      <c r="AI30" s="51" t="s">
        <v>19</v>
      </c>
      <c r="AJ30" s="29">
        <f>VLOOKUP(Tabulka591215329354147[[#This Row],[Tým]],Tabulka381114228344046[[Tým]:[Body]],6,FALSE)+Tabulka591215329354147[[#This Row],[ ]]</f>
        <v>64</v>
      </c>
      <c r="AK30" s="76">
        <f>VLOOKUP(Tabulka591215329354147[[#This Row],[Tým]],Tabulka5912153293541[[Tým]:[Body]],2,FALSE)</f>
        <v>54</v>
      </c>
      <c r="AL30" s="47">
        <f>Tabulka591215329354147[[#This Row],[Umístění]]</f>
        <v>4</v>
      </c>
      <c r="AP30" s="1"/>
    </row>
    <row r="31" spans="2:42" ht="24.95" customHeight="1" x14ac:dyDescent="0.4">
      <c r="D31" s="16"/>
      <c r="P31" s="7"/>
      <c r="Q31" s="8"/>
      <c r="R31" s="8"/>
      <c r="Z31" s="31">
        <f>IF(OR(Tabulka381114228344046[Výsledný čas]="N",Tabulka381114228344046[Výsledný čas]="D",Tabulka381114228344046[Výsledný čas]="NEÚČAST"),Uvod!$E$6,_xlfn.RANK.EQ(Tabulka381114228344046[[#This Row],[ ]],Tabulka381114228344046[[ ]],1))</f>
        <v>5</v>
      </c>
      <c r="AA31" s="51" t="s">
        <v>23</v>
      </c>
      <c r="AB31" s="348">
        <f>VLOOKUP(Tabulka381114228344046[[#This Row],[Tým]],Tabulka171013630364248[[Tým]:[ ]],2,FALSE)</f>
        <v>19.489999999999998</v>
      </c>
      <c r="AC31" s="348">
        <f>VLOOKUP(Tabulka381114228344046[[#This Row],[Tým]],Tabulka171013630364248[[Tým]:[ ]],3,FALSE)</f>
        <v>20.260000000000002</v>
      </c>
      <c r="AD31" s="348">
        <f>VLOOKUP(Tabulka381114228344046[[#This Row],[Tým]],Tabulka171013630364248[[Tým]:[ ]],4,FALSE)</f>
        <v>20.260000000000002</v>
      </c>
      <c r="AE31" s="25">
        <f>VLOOKUP(Tabulka381114228344046[[#This Row],[Tým]],Tabulka171013630364248[[Tým]:[ ]],7,FALSE)</f>
        <v>20.260000000000002</v>
      </c>
      <c r="AF31" s="29">
        <f>IF(Tabulka381114228344046[[#This Row],[Výsledný čas]]="N",5,IF(Tabulka381114228344046[[#This Row],[Výsledný čas]]="D",0,IF(Tabulka381114228344046[[#This Row],[Výsledný čas]]="NEÚČAST",0,Tabulka8[[#Totals],[Týmy ženy]]+6-Tabulka381114228344046[[#This Row],[Umístění]])))</f>
        <v>11</v>
      </c>
      <c r="AH31" s="31">
        <f>_xlfn.RANK.EQ(Tabulka591215329354147[[#This Row],[Body]],Tabulka591215329354147[Body],0)</f>
        <v>5</v>
      </c>
      <c r="AI31" s="51" t="s">
        <v>23</v>
      </c>
      <c r="AJ31" s="29">
        <f>VLOOKUP(Tabulka591215329354147[[#This Row],[Tým]],Tabulka381114228344046[[Tým]:[Body]],6,FALSE)+Tabulka591215329354147[[#This Row],[ ]]</f>
        <v>55</v>
      </c>
      <c r="AK31" s="82">
        <f>VLOOKUP(Tabulka591215329354147[[#This Row],[Tým]],Tabulka5912153293541[[Tým]:[Body]],2,FALSE)</f>
        <v>44</v>
      </c>
      <c r="AL31" s="47">
        <f>Tabulka591215329354147[[#This Row],[Umístění]]</f>
        <v>5</v>
      </c>
      <c r="AP31" s="1"/>
    </row>
    <row r="32" spans="2:42" ht="24.95" customHeight="1" x14ac:dyDescent="0.4">
      <c r="D32" s="16"/>
      <c r="N32" s="68"/>
      <c r="P32" s="7"/>
      <c r="Q32" s="8"/>
      <c r="R32" s="8"/>
      <c r="Z32" s="31">
        <f>IF(OR(Tabulka381114228344046[Výsledný čas]="N",Tabulka381114228344046[Výsledný čas]="D",Tabulka381114228344046[Výsledný čas]="NEÚČAST"),Uvod!$E$6,_xlfn.RANK.EQ(Tabulka381114228344046[[#This Row],[ ]],Tabulka381114228344046[[ ]],1))</f>
        <v>6</v>
      </c>
      <c r="AA32" s="51" t="s">
        <v>19</v>
      </c>
      <c r="AB32" s="348">
        <f>VLOOKUP(Tabulka381114228344046[[#This Row],[Tým]],Tabulka171013630364248[[Tým]:[ ]],2,FALSE)</f>
        <v>19.2</v>
      </c>
      <c r="AC32" s="348">
        <f>VLOOKUP(Tabulka381114228344046[[#This Row],[Tým]],Tabulka171013630364248[[Tým]:[ ]],3,FALSE)</f>
        <v>20.78</v>
      </c>
      <c r="AD32" s="348">
        <f>VLOOKUP(Tabulka381114228344046[[#This Row],[Tým]],Tabulka171013630364248[[Tým]:[ ]],4,FALSE)</f>
        <v>20.78</v>
      </c>
      <c r="AE32" s="25">
        <f>VLOOKUP(Tabulka381114228344046[[#This Row],[Tým]],Tabulka171013630364248[[Tým]:[ ]],7,FALSE)</f>
        <v>20.78</v>
      </c>
      <c r="AF32" s="29">
        <f>IF(Tabulka381114228344046[[#This Row],[Výsledný čas]]="N",5,IF(Tabulka381114228344046[[#This Row],[Výsledný čas]]="D",0,IF(Tabulka381114228344046[[#This Row],[Výsledný čas]]="NEÚČAST",0,Tabulka8[[#Totals],[Týmy ženy]]+6-Tabulka381114228344046[[#This Row],[Umístění]])))</f>
        <v>10</v>
      </c>
      <c r="AH32" s="31">
        <f>_xlfn.RANK.EQ(Tabulka591215329354147[[#This Row],[Body]],Tabulka591215329354147[Body],0)</f>
        <v>6</v>
      </c>
      <c r="AI32" s="51" t="s">
        <v>36</v>
      </c>
      <c r="AJ32" s="29">
        <f>VLOOKUP(Tabulka591215329354147[[#This Row],[Tým]],Tabulka381114228344046[[Tým]:[Body]],6,FALSE)+Tabulka591215329354147[[#This Row],[ ]]</f>
        <v>54</v>
      </c>
      <c r="AK32" s="82">
        <f>VLOOKUP(Tabulka591215329354147[[#This Row],[Tým]],Tabulka5912153293541[[Tým]:[Body]],2,FALSE)</f>
        <v>42</v>
      </c>
      <c r="AL32" s="47">
        <f>Tabulka591215329354147[[#This Row],[Umístění]]</f>
        <v>6</v>
      </c>
      <c r="AP32" s="1"/>
    </row>
    <row r="33" spans="4:42" ht="24.95" customHeight="1" x14ac:dyDescent="0.4">
      <c r="D33" s="16"/>
      <c r="N33" s="68"/>
      <c r="P33" s="7"/>
      <c r="Q33" s="8"/>
      <c r="R33" s="8"/>
      <c r="Z33" s="31">
        <f>IF(OR(Tabulka381114228344046[Výsledný čas]="N",Tabulka381114228344046[Výsledný čas]="D",Tabulka381114228344046[Výsledný čas]="NEÚČAST"),Uvod!$E$6,_xlfn.RANK.EQ(Tabulka381114228344046[[#This Row],[ ]],Tabulka381114228344046[[ ]],1))</f>
        <v>7</v>
      </c>
      <c r="AA33" s="51" t="s">
        <v>15</v>
      </c>
      <c r="AB33" s="348">
        <f>VLOOKUP(Tabulka381114228344046[[#This Row],[Tým]],Tabulka171013630364248[[Tým]:[ ]],2,FALSE)</f>
        <v>23.16</v>
      </c>
      <c r="AC33" s="348">
        <f>VLOOKUP(Tabulka381114228344046[[#This Row],[Tým]],Tabulka171013630364248[[Tým]:[ ]],3,FALSE)</f>
        <v>23.43</v>
      </c>
      <c r="AD33" s="348">
        <f>VLOOKUP(Tabulka381114228344046[[#This Row],[Tým]],Tabulka171013630364248[[Tým]:[ ]],4,FALSE)</f>
        <v>23.43</v>
      </c>
      <c r="AE33" s="25">
        <f>VLOOKUP(Tabulka381114228344046[[#This Row],[Tým]],Tabulka171013630364248[[Tým]:[ ]],7,FALSE)</f>
        <v>23.43</v>
      </c>
      <c r="AF33" s="29">
        <f>IF(Tabulka381114228344046[[#This Row],[Výsledný čas]]="N",5,IF(Tabulka381114228344046[[#This Row],[Výsledný čas]]="D",0,IF(Tabulka381114228344046[[#This Row],[Výsledný čas]]="NEÚČAST",0,Tabulka8[[#Totals],[Týmy ženy]]+6-Tabulka381114228344046[[#This Row],[Umístění]])))</f>
        <v>9</v>
      </c>
      <c r="AH33" s="31">
        <f>_xlfn.RANK.EQ(Tabulka591215329354147[[#This Row],[Body]],Tabulka591215329354147[Body],0)</f>
        <v>7</v>
      </c>
      <c r="AI33" s="51" t="s">
        <v>15</v>
      </c>
      <c r="AJ33" s="29">
        <f>VLOOKUP(Tabulka591215329354147[[#This Row],[Tým]],Tabulka381114228344046[[Tým]:[Body]],6,FALSE)+Tabulka591215329354147[[#This Row],[ ]]</f>
        <v>52</v>
      </c>
      <c r="AK33" s="82">
        <f>VLOOKUP(Tabulka591215329354147[[#This Row],[Tým]],Tabulka5912153293541[[Tým]:[Body]],2,FALSE)</f>
        <v>43</v>
      </c>
      <c r="AL33" s="47">
        <f>Tabulka591215329354147[[#This Row],[Umístění]]</f>
        <v>7</v>
      </c>
      <c r="AP33" s="1"/>
    </row>
    <row r="34" spans="4:42" ht="24.95" customHeight="1" x14ac:dyDescent="0.4">
      <c r="D34" s="16"/>
      <c r="P34" s="7"/>
      <c r="Q34" s="8"/>
      <c r="R34" s="8"/>
      <c r="Z34" s="31">
        <f>IF(OR(Tabulka381114228344046[Výsledný čas]="N",Tabulka381114228344046[Výsledný čas]="D",Tabulka381114228344046[Výsledný čas]="NEÚČAST"),Uvod!$E$6,_xlfn.RANK.EQ(Tabulka381114228344046[[#This Row],[ ]],Tabulka381114228344046[[ ]],1))</f>
        <v>10</v>
      </c>
      <c r="AA34" s="51" t="s">
        <v>35</v>
      </c>
      <c r="AB34" s="348" t="str">
        <f>VLOOKUP(Tabulka381114228344046[[#This Row],[Tým]],Tabulka171013630364248[[Tým]:[ ]],2,FALSE)</f>
        <v>N</v>
      </c>
      <c r="AC34" s="348" t="str">
        <f>VLOOKUP(Tabulka381114228344046[[#This Row],[Tým]],Tabulka171013630364248[[Tým]:[ ]],3,FALSE)</f>
        <v>N</v>
      </c>
      <c r="AD34" s="348" t="str">
        <f>VLOOKUP(Tabulka381114228344046[[#This Row],[Tým]],Tabulka171013630364248[[Tým]:[ ]],4,FALSE)</f>
        <v>N</v>
      </c>
      <c r="AE34" s="25">
        <f>VLOOKUP(Tabulka381114228344046[[#This Row],[Tým]],Tabulka171013630364248[[Tým]:[ ]],7,FALSE)</f>
        <v>998</v>
      </c>
      <c r="AF34" s="29">
        <f>IF(Tabulka381114228344046[[#This Row],[Výsledný čas]]="N",5,IF(Tabulka381114228344046[[#This Row],[Výsledný čas]]="D",0,IF(Tabulka381114228344046[[#This Row],[Výsledný čas]]="NEÚČAST",0,Tabulka8[[#Totals],[Týmy ženy]]+6-Tabulka381114228344046[[#This Row],[Umístění]])))</f>
        <v>5</v>
      </c>
      <c r="AH34" s="31">
        <f>_xlfn.RANK.EQ(Tabulka591215329354147[[#This Row],[Body]],Tabulka591215329354147[Body],0)</f>
        <v>7</v>
      </c>
      <c r="AI34" s="51" t="s">
        <v>16</v>
      </c>
      <c r="AJ34" s="29">
        <f>VLOOKUP(Tabulka591215329354147[[#This Row],[Tým]],Tabulka381114228344046[[Tým]:[Body]],6,FALSE)+Tabulka591215329354147[[#This Row],[ ]]</f>
        <v>52</v>
      </c>
      <c r="AK34" s="82">
        <f>VLOOKUP(Tabulka591215329354147[[#This Row],[Tým]],Tabulka5912153293541[[Tým]:[Body]],2,FALSE)</f>
        <v>39</v>
      </c>
      <c r="AL34" s="47">
        <f>Tabulka591215329354147[[#This Row],[Umístění]]</f>
        <v>7</v>
      </c>
      <c r="AP34" s="1"/>
    </row>
    <row r="35" spans="4:42" ht="24.95" customHeight="1" x14ac:dyDescent="0.4">
      <c r="D35" s="16"/>
      <c r="P35" s="7"/>
      <c r="Q35" s="8"/>
      <c r="R35" s="8"/>
      <c r="Z35" s="31">
        <f>IF(OR(Tabulka381114228344046[Výsledný čas]="N",Tabulka381114228344046[Výsledný čas]="D",Tabulka381114228344046[Výsledný čas]="NEÚČAST"),Uvod!$E$6,_xlfn.RANK.EQ(Tabulka381114228344046[[#This Row],[ ]],Tabulka381114228344046[[ ]],1))</f>
        <v>10</v>
      </c>
      <c r="AA35" s="51" t="s">
        <v>21</v>
      </c>
      <c r="AB35" s="348" t="str">
        <f>VLOOKUP(Tabulka381114228344046[[#This Row],[Tým]],Tabulka171013630364248[[Tým]:[ ]],2,FALSE)</f>
        <v>N</v>
      </c>
      <c r="AC35" s="348" t="str">
        <f>VLOOKUP(Tabulka381114228344046[[#This Row],[Tým]],Tabulka171013630364248[[Tým]:[ ]],3,FALSE)</f>
        <v>N</v>
      </c>
      <c r="AD35" s="348" t="str">
        <f>VLOOKUP(Tabulka381114228344046[[#This Row],[Tým]],Tabulka171013630364248[[Tým]:[ ]],4,FALSE)</f>
        <v>N</v>
      </c>
      <c r="AE35" s="25">
        <f>VLOOKUP(Tabulka381114228344046[[#This Row],[Tým]],Tabulka171013630364248[[Tým]:[ ]],7,FALSE)</f>
        <v>998</v>
      </c>
      <c r="AF35" s="29">
        <f>IF(Tabulka381114228344046[[#This Row],[Výsledný čas]]="N",5,IF(Tabulka381114228344046[[#This Row],[Výsledný čas]]="D",0,IF(Tabulka381114228344046[[#This Row],[Výsledný čas]]="NEÚČAST",0,Tabulka8[[#Totals],[Týmy ženy]]+6-Tabulka381114228344046[[#This Row],[Umístění]])))</f>
        <v>5</v>
      </c>
      <c r="AH35" s="31">
        <f>_xlfn.RANK.EQ(Tabulka591215329354147[[#This Row],[Body]],Tabulka591215329354147[Body],0)</f>
        <v>9</v>
      </c>
      <c r="AI35" s="51" t="s">
        <v>21</v>
      </c>
      <c r="AJ35" s="29">
        <f>VLOOKUP(Tabulka591215329354147[[#This Row],[Tým]],Tabulka381114228344046[[Tým]:[Body]],6,FALSE)+Tabulka591215329354147[[#This Row],[ ]]</f>
        <v>51</v>
      </c>
      <c r="AK35" s="82">
        <f>VLOOKUP(Tabulka591215329354147[[#This Row],[Tým]],Tabulka5912153293541[[Tým]:[Body]],2,FALSE)</f>
        <v>46</v>
      </c>
      <c r="AL35" s="47">
        <f>Tabulka591215329354147[[#This Row],[Umístění]]</f>
        <v>9</v>
      </c>
      <c r="AP35" s="1"/>
    </row>
    <row r="36" spans="4:42" ht="24.95" customHeight="1" thickBot="1" x14ac:dyDescent="0.45">
      <c r="D36" s="16"/>
      <c r="P36" s="7"/>
      <c r="Q36" s="8"/>
      <c r="R36" s="8"/>
      <c r="Z36" s="33">
        <f>IF(OR(Tabulka381114228344046[Výsledný čas]="N",Tabulka381114228344046[Výsledný čas]="D",Tabulka381114228344046[Výsledný čas]="NEÚČAST"),Uvod!$E$6,_xlfn.RANK.EQ(Tabulka381114228344046[[#This Row],[ ]],Tabulka381114228344046[[ ]],1))</f>
        <v>10</v>
      </c>
      <c r="AA36" s="62" t="s">
        <v>24</v>
      </c>
      <c r="AB36" s="349" t="str">
        <f>VLOOKUP(Tabulka381114228344046[[#This Row],[Tým]],Tabulka171013630364248[[Tým]:[ ]],2,FALSE)</f>
        <v>N</v>
      </c>
      <c r="AC36" s="349" t="str">
        <f>VLOOKUP(Tabulka381114228344046[[#This Row],[Tým]],Tabulka171013630364248[[Tým]:[ ]],3,FALSE)</f>
        <v>N</v>
      </c>
      <c r="AD36" s="349" t="str">
        <f>VLOOKUP(Tabulka381114228344046[[#This Row],[Tým]],Tabulka171013630364248[[Tým]:[ ]],4,FALSE)</f>
        <v>N</v>
      </c>
      <c r="AE36" s="34">
        <f>VLOOKUP(Tabulka381114228344046[[#This Row],[Tým]],Tabulka171013630364248[[Tým]:[ ]],7,FALSE)</f>
        <v>998</v>
      </c>
      <c r="AF36" s="36">
        <f>IF(Tabulka381114228344046[[#This Row],[Výsledný čas]]="N",5,IF(Tabulka381114228344046[[#This Row],[Výsledný čas]]="D",0,IF(Tabulka381114228344046[[#This Row],[Výsledný čas]]="NEÚČAST",0,Tabulka8[[#Totals],[Týmy ženy]]+6-Tabulka381114228344046[[#This Row],[Umístění]])))</f>
        <v>5</v>
      </c>
      <c r="AH36" s="33">
        <f>_xlfn.RANK.EQ(Tabulka591215329354147[[#This Row],[Body]],Tabulka591215329354147[Body],0)</f>
        <v>10</v>
      </c>
      <c r="AI36" s="62" t="s">
        <v>24</v>
      </c>
      <c r="AJ36" s="36">
        <f>VLOOKUP(Tabulka591215329354147[[#This Row],[Tým]],Tabulka381114228344046[[Tým]:[Body]],6,FALSE)+Tabulka591215329354147[[#This Row],[ ]]</f>
        <v>39</v>
      </c>
      <c r="AK36" s="82">
        <f>VLOOKUP(Tabulka591215329354147[[#This Row],[Tým]],Tabulka5912153293541[[Tým]:[Body]],2,FALSE)</f>
        <v>34</v>
      </c>
      <c r="AL36" s="93">
        <f>Tabulka591215329354147[[#This Row],[Umístění]]</f>
        <v>10</v>
      </c>
      <c r="AP36" s="1"/>
    </row>
    <row r="37" spans="4:42" ht="24.95" customHeight="1" x14ac:dyDescent="0.4">
      <c r="D37" s="16"/>
      <c r="N37" s="70"/>
      <c r="P37" s="7"/>
      <c r="Q37" s="8"/>
      <c r="R37" s="8"/>
      <c r="AB37" s="3"/>
      <c r="AC37" s="3"/>
      <c r="AK37" s="4"/>
    </row>
    <row r="38" spans="4:42" ht="24.95" customHeight="1" x14ac:dyDescent="0.4">
      <c r="D38" s="16"/>
      <c r="N38" s="70"/>
      <c r="P38" s="7"/>
      <c r="Q38" s="8"/>
      <c r="R38" s="8"/>
      <c r="AB38" s="3"/>
      <c r="AC38" s="3"/>
      <c r="AK38" s="4"/>
    </row>
    <row r="39" spans="4:42" ht="24.95" customHeight="1" x14ac:dyDescent="0.4">
      <c r="D39" s="16"/>
      <c r="P39" s="7"/>
      <c r="Q39" s="8"/>
      <c r="R39" s="8"/>
      <c r="AB39" s="3"/>
      <c r="AC39" s="3"/>
      <c r="AK39" s="4"/>
    </row>
    <row r="40" spans="4:42" ht="24.95" customHeight="1" x14ac:dyDescent="0.4">
      <c r="D40" s="16"/>
      <c r="P40" s="7"/>
      <c r="Q40" s="8"/>
      <c r="R40" s="8"/>
      <c r="AB40" s="3"/>
      <c r="AC40" s="3"/>
      <c r="AK40" s="4"/>
    </row>
    <row r="41" spans="4:42" ht="24.95" customHeight="1" x14ac:dyDescent="0.4">
      <c r="D41" s="16"/>
      <c r="P41" s="7"/>
      <c r="Q41" s="8"/>
      <c r="R41" s="8"/>
      <c r="AB41" s="3"/>
      <c r="AC41" s="3"/>
      <c r="AK41" s="4"/>
    </row>
    <row r="42" spans="4:42" ht="24.95" customHeight="1" x14ac:dyDescent="0.4">
      <c r="D42" s="16"/>
      <c r="N42" s="68"/>
      <c r="P42" s="7"/>
      <c r="Q42" s="8"/>
      <c r="R42" s="8"/>
      <c r="AB42" s="3"/>
      <c r="AC42" s="3"/>
      <c r="AK42" s="4"/>
    </row>
    <row r="43" spans="4:42" ht="24.95" customHeight="1" x14ac:dyDescent="0.4">
      <c r="D43" s="16"/>
      <c r="N43" s="68"/>
      <c r="P43" s="7"/>
      <c r="Q43" s="8"/>
      <c r="R43" s="8"/>
      <c r="AB43" s="3"/>
      <c r="AC43" s="3"/>
      <c r="AK43" s="4"/>
    </row>
    <row r="44" spans="4:42" ht="24.95" customHeight="1" x14ac:dyDescent="0.4">
      <c r="D44" s="16"/>
      <c r="P44" s="7"/>
      <c r="Q44" s="8"/>
      <c r="R44" s="8"/>
    </row>
    <row r="45" spans="4:42" ht="24.95" customHeight="1" x14ac:dyDescent="0.4">
      <c r="D45" s="16"/>
      <c r="P45" s="7"/>
      <c r="Q45" s="8"/>
      <c r="R45" s="8"/>
    </row>
    <row r="46" spans="4:42" ht="24.95" customHeight="1" x14ac:dyDescent="0.4">
      <c r="D46" s="16"/>
      <c r="P46" s="7"/>
      <c r="Q46" s="8"/>
      <c r="R46" s="8"/>
    </row>
    <row r="47" spans="4:42" ht="24.95" customHeight="1" x14ac:dyDescent="0.4">
      <c r="D47" s="16"/>
      <c r="N47" s="68"/>
      <c r="P47" s="7"/>
      <c r="Q47" s="8"/>
      <c r="R47" s="8"/>
    </row>
    <row r="48" spans="4:42" ht="24.95" customHeight="1" x14ac:dyDescent="0.4">
      <c r="D48" s="16"/>
      <c r="N48" s="68"/>
      <c r="P48" s="7"/>
      <c r="Q48" s="8"/>
      <c r="R48" s="8"/>
    </row>
    <row r="49" spans="4:18" ht="24.95" customHeight="1" x14ac:dyDescent="0.4">
      <c r="D49" s="16"/>
      <c r="P49" s="7"/>
      <c r="Q49" s="8"/>
      <c r="R49" s="8"/>
    </row>
    <row r="50" spans="4:18" ht="24.95" customHeight="1" x14ac:dyDescent="0.4">
      <c r="D50" s="16"/>
      <c r="P50" s="7"/>
      <c r="Q50" s="8"/>
      <c r="R50" s="8"/>
    </row>
    <row r="51" spans="4:18" ht="24.95" customHeight="1" x14ac:dyDescent="0.4">
      <c r="D51" s="16"/>
      <c r="P51" s="7"/>
      <c r="Q51" s="8"/>
      <c r="R51" s="8"/>
    </row>
    <row r="52" spans="4:18" ht="24.95" customHeight="1" x14ac:dyDescent="0.4">
      <c r="D52" s="16"/>
      <c r="P52" s="16"/>
    </row>
    <row r="53" spans="4:18" ht="24.95" customHeight="1" x14ac:dyDescent="0.4">
      <c r="D53" s="16"/>
      <c r="P53" s="16"/>
    </row>
    <row r="54" spans="4:18" x14ac:dyDescent="0.4">
      <c r="P54" s="16"/>
    </row>
    <row r="55" spans="4:18" x14ac:dyDescent="0.4">
      <c r="P55" s="16"/>
    </row>
    <row r="56" spans="4:18" x14ac:dyDescent="0.4">
      <c r="P56" s="16"/>
    </row>
  </sheetData>
  <mergeCells count="6">
    <mergeCell ref="B2:J2"/>
    <mergeCell ref="N2:V2"/>
    <mergeCell ref="Z2:AF2"/>
    <mergeCell ref="AH2:AK2"/>
    <mergeCell ref="Z25:AF25"/>
    <mergeCell ref="AH25:AK25"/>
  </mergeCells>
  <phoneticPr fontId="12" type="noConversion"/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AB241-B959-4A24-BDC7-C30393C99EB1}">
  <dimension ref="A1:AP56"/>
  <sheetViews>
    <sheetView showGridLines="0" tabSelected="1" zoomScale="55" zoomScaleNormal="55" workbookViewId="0">
      <selection activeCell="P23" sqref="P23"/>
    </sheetView>
  </sheetViews>
  <sheetFormatPr defaultRowHeight="26.25" x14ac:dyDescent="0.4"/>
  <cols>
    <col min="1" max="1" width="5.7109375" style="1" customWidth="1"/>
    <col min="2" max="3" width="16.7109375" style="1" customWidth="1"/>
    <col min="4" max="4" width="35.7109375" style="1" customWidth="1"/>
    <col min="5" max="6" width="16.7109375" style="1" customWidth="1"/>
    <col min="7" max="7" width="20.7109375" style="1" customWidth="1"/>
    <col min="8" max="9" width="20.7109375" style="1" hidden="1" customWidth="1"/>
    <col min="10" max="12" width="11.5703125" style="1" hidden="1" customWidth="1"/>
    <col min="13" max="13" width="10.7109375" style="1" customWidth="1"/>
    <col min="14" max="15" width="16.7109375" style="1" customWidth="1"/>
    <col min="16" max="16" width="35.7109375" style="1" customWidth="1"/>
    <col min="17" max="18" width="16.7109375" style="1" customWidth="1"/>
    <col min="19" max="19" width="20.7109375" style="1" customWidth="1"/>
    <col min="20" max="21" width="20.7109375" style="1" hidden="1" customWidth="1"/>
    <col min="22" max="24" width="13.7109375" style="1" hidden="1" customWidth="1"/>
    <col min="25" max="25" width="9.140625" style="1"/>
    <col min="26" max="26" width="16.7109375" style="1" customWidth="1"/>
    <col min="27" max="27" width="35.7109375" style="1" customWidth="1"/>
    <col min="28" max="29" width="16.7109375" style="1" customWidth="1"/>
    <col min="30" max="30" width="20.7109375" style="1" customWidth="1"/>
    <col min="31" max="31" width="13.7109375" style="1" hidden="1" customWidth="1"/>
    <col min="32" max="32" width="12.7109375" style="1" customWidth="1"/>
    <col min="33" max="33" width="9.140625" style="1"/>
    <col min="34" max="34" width="16.7109375" style="1" customWidth="1"/>
    <col min="35" max="35" width="35.7109375" style="1" customWidth="1"/>
    <col min="36" max="36" width="12.7109375" style="1" customWidth="1"/>
    <col min="37" max="38" width="34.42578125" style="1" hidden="1" customWidth="1"/>
    <col min="39" max="41" width="9.140625" style="1"/>
    <col min="42" max="16384" width="9.140625" style="2"/>
  </cols>
  <sheetData>
    <row r="1" spans="1:42" ht="24.95" customHeight="1" thickBot="1" x14ac:dyDescent="0.45"/>
    <row r="2" spans="1:42" ht="24.95" customHeight="1" x14ac:dyDescent="0.4">
      <c r="A2" s="333"/>
      <c r="B2" s="317" t="str">
        <f>"Výsledky - Soutěže "&amp;Uvod!A9&amp;" kola NHHL "&amp;TEXT(Uvod!B9,"d.m. rrrr")&amp;" "&amp;Uvod!C9&amp;" - MUŽI "</f>
        <v xml:space="preserve">Výsledky - Soutěže 7. kola NHHL 21.7. 2023 Bohuslavice - MUŽI </v>
      </c>
      <c r="C2" s="318"/>
      <c r="D2" s="318"/>
      <c r="E2" s="318"/>
      <c r="F2" s="318"/>
      <c r="G2" s="318"/>
      <c r="H2" s="318"/>
      <c r="I2" s="318"/>
      <c r="J2" s="319"/>
      <c r="K2" s="177"/>
      <c r="L2" s="177"/>
      <c r="M2" s="15"/>
      <c r="N2" s="308" t="str">
        <f>"Výsledky - Soutěže "&amp;Uvod!A9&amp;" kola NHHL "&amp;TEXT(Uvod!B9,"d.m. rrrr")&amp;" "&amp;Uvod!C9&amp;" - ŽENY "</f>
        <v xml:space="preserve">Výsledky - Soutěže 7. kola NHHL 21.7. 2023 Bohuslavice - ŽENY </v>
      </c>
      <c r="O2" s="309"/>
      <c r="P2" s="309"/>
      <c r="Q2" s="309"/>
      <c r="R2" s="309"/>
      <c r="S2" s="309"/>
      <c r="T2" s="320"/>
      <c r="U2" s="320"/>
      <c r="V2" s="310"/>
      <c r="W2" s="180"/>
      <c r="X2" s="180"/>
      <c r="Y2" s="15"/>
      <c r="Z2" s="324" t="str">
        <f>B2</f>
        <v xml:space="preserve">Výsledky - Soutěže 7. kola NHHL 21.7. 2023 Bohuslavice - MUŽI </v>
      </c>
      <c r="AA2" s="325"/>
      <c r="AB2" s="325"/>
      <c r="AC2" s="325"/>
      <c r="AD2" s="325"/>
      <c r="AE2" s="325"/>
      <c r="AF2" s="326"/>
      <c r="AH2" s="324" t="s">
        <v>133</v>
      </c>
      <c r="AI2" s="325"/>
      <c r="AJ2" s="325"/>
      <c r="AK2" s="326"/>
    </row>
    <row r="3" spans="1:42" ht="24.95" customHeight="1" thickBot="1" x14ac:dyDescent="0.45">
      <c r="B3" s="21" t="s">
        <v>0</v>
      </c>
      <c r="C3" s="358" t="s">
        <v>1</v>
      </c>
      <c r="D3" s="358" t="s">
        <v>2</v>
      </c>
      <c r="E3" s="358" t="s">
        <v>3</v>
      </c>
      <c r="F3" s="358" t="s">
        <v>4</v>
      </c>
      <c r="G3" s="23" t="s">
        <v>5</v>
      </c>
      <c r="H3" s="358" t="s">
        <v>74</v>
      </c>
      <c r="I3" s="358" t="s">
        <v>73</v>
      </c>
      <c r="J3" s="9" t="s">
        <v>27</v>
      </c>
      <c r="N3" s="73" t="s">
        <v>0</v>
      </c>
      <c r="O3" s="74" t="s">
        <v>1</v>
      </c>
      <c r="P3" s="74" t="s">
        <v>2</v>
      </c>
      <c r="Q3" s="74" t="s">
        <v>3</v>
      </c>
      <c r="R3" s="74" t="s">
        <v>4</v>
      </c>
      <c r="S3" s="74" t="s">
        <v>5</v>
      </c>
      <c r="T3" s="86" t="s">
        <v>73</v>
      </c>
      <c r="U3" s="86" t="s">
        <v>74</v>
      </c>
      <c r="V3" s="29" t="s">
        <v>27</v>
      </c>
      <c r="Y3" s="15"/>
      <c r="Z3" s="58" t="s">
        <v>1</v>
      </c>
      <c r="AA3" s="59" t="s">
        <v>2</v>
      </c>
      <c r="AB3" s="59" t="s">
        <v>3</v>
      </c>
      <c r="AC3" s="59" t="s">
        <v>4</v>
      </c>
      <c r="AD3" s="59" t="s">
        <v>5</v>
      </c>
      <c r="AE3" s="59" t="s">
        <v>27</v>
      </c>
      <c r="AF3" s="60" t="s">
        <v>7</v>
      </c>
      <c r="AH3" s="58" t="s">
        <v>1</v>
      </c>
      <c r="AI3" s="59" t="s">
        <v>2</v>
      </c>
      <c r="AJ3" s="59" t="s">
        <v>7</v>
      </c>
      <c r="AK3" s="29" t="s">
        <v>27</v>
      </c>
      <c r="AL3" s="112" t="s">
        <v>73</v>
      </c>
      <c r="AM3" s="15"/>
      <c r="AP3" s="1"/>
    </row>
    <row r="4" spans="1:42" ht="24.95" customHeight="1" x14ac:dyDescent="0.4">
      <c r="B4" s="100" t="s">
        <v>51</v>
      </c>
      <c r="C4" s="80">
        <f>IF(Tabulka1710132531374349[[#This Row],[ ]]="","",IF(Tabulka1710132531374349[[#This Row],[ ]]="NEÚČAST","",IF(OR(Tabulka1710132531374349[Výsledný čas]="N",Tabulka1710132531374349[Výsledný čas]="D"),$L$4-$L$5,_xlfn.RANK.EQ(Tabulka1710132531374349[[#This Row],[ ]],Tabulka1710132531374349[[ ]],1))))</f>
        <v>1</v>
      </c>
      <c r="D4" s="104" t="s">
        <v>30</v>
      </c>
      <c r="E4" s="359">
        <v>14.78</v>
      </c>
      <c r="F4" s="105">
        <v>15.43</v>
      </c>
      <c r="G4" s="81">
        <f>IF(OR(Tabulka1710132531374349[[#This Row],[LP]]="N",Tabulka1710132531374349[[#This Row],[PP]]="N"),"N",IF(OR(Tabulka1710132531374349[[#This Row],[LP]]="D",Tabulka1710132531374349[[#This Row],[PP]]="D"),"D",IF(OR(Tabulka1710132531374349[[#This Row],[LP]]="NEÚČAST",Tabulka1710132531374349[[#This Row],[PP]]="NEÚČAST"),"NEÚČAST",IF(OR(Tabulka1710132531374349[[#This Row],[LP]]="",Tabulka1710132531374349[[#This Row],[PP]]=""),"",MAX(Tabulka1710132531374349[[#This Row],[LP]:[PP]])))))</f>
        <v>15.43</v>
      </c>
      <c r="H4" s="333">
        <f>COUNTIF(Tabulka1710132531374349[[#This Row],[Tým]],"*")</f>
        <v>1</v>
      </c>
      <c r="I4" s="333">
        <f>COUNTIF(Tabulka1710132531374349[[#This Row],[Výsledný čas]],"NEÚČAST")</f>
        <v>0</v>
      </c>
      <c r="J4" s="9">
        <f>IF(Tabulka1710132531374349[[#This Row],[Výsledný čas]]="N",998,IF(Tabulka1710132531374349[[#This Row],[Výsledný čas]]="D",998,IF(Tabulka1710132531374349[[#This Row],[Výsledný čas]]="","",Tabulka1710132531374349[[#This Row],[Výsledný čas]])))</f>
        <v>15.43</v>
      </c>
      <c r="L4" s="1">
        <f>SUM(Tabulka1710132531374349[Sloupec2])</f>
        <v>26</v>
      </c>
      <c r="N4" s="100" t="s">
        <v>66</v>
      </c>
      <c r="O4" s="80">
        <f>IF(Tabulka17101363036424854[[#This Row],[ ]]="","",IF(Tabulka17101363036424854[[#This Row],[ ]]="NEÚČAST","",IF(OR(Tabulka17101363036424854[Výsledný čas]="N",Tabulka17101363036424854[Výsledný čas]="D"),$X$4-$X$5,_xlfn.RANK.EQ(Tabulka17101363036424854[[#This Row],[ ]],Tabulka17101363036424854[[ ]],1))))</f>
        <v>1</v>
      </c>
      <c r="P4" s="104" t="s">
        <v>22</v>
      </c>
      <c r="Q4" s="170">
        <v>17.39</v>
      </c>
      <c r="R4" s="105">
        <v>17.96</v>
      </c>
      <c r="S4" s="81">
        <f>IF(OR(Tabulka17101363036424854[[#This Row],[LP]]="N",Tabulka17101363036424854[[#This Row],[PP]]="N"),"N",IF(OR(Tabulka17101363036424854[[#This Row],[LP]]="D",Tabulka17101363036424854[[#This Row],[PP]]="D"),"D",IF(OR(Tabulka17101363036424854[[#This Row],[LP]]="NEÚČAST",Tabulka17101363036424854[[#This Row],[PP]]="NEÚČAST"),"NEÚČAST",IF(OR(Tabulka17101363036424854[[#This Row],[LP]]="",Tabulka17101363036424854[[#This Row],[PP]]=""),"",MAX(Tabulka17101363036424854[[#This Row],[LP]:[PP]])))))</f>
        <v>17.96</v>
      </c>
      <c r="T4" s="181">
        <f>COUNTIF(Tabulka17101363036424854[[#This Row],[Tým]],"*")</f>
        <v>1</v>
      </c>
      <c r="U4" s="181">
        <f>COUNTIF(Tabulka17101363036424854[[#This Row],[Výsledný čas]],"NEÚČAST")</f>
        <v>0</v>
      </c>
      <c r="V4" s="88">
        <f>IF(Tabulka17101363036424854[[#This Row],[Výsledný čas]]="N",998,IF(Tabulka17101363036424854[[#This Row],[Výsledný čas]]="D",998,IF(Tabulka17101363036424854[[#This Row],[Výsledný čas]]="","",Tabulka17101363036424854[[#This Row],[Výsledný čas]])))</f>
        <v>17.96</v>
      </c>
      <c r="X4" s="1">
        <f>SUM(Tabulka17101363036424854[Sloupec1])</f>
        <v>12</v>
      </c>
      <c r="Y4" s="15"/>
      <c r="Z4" s="77">
        <f>IF(OR(Tabulka3811142632384450[Výsledný čas]="N",Tabulka3811142632384450[Výsledný čas]="D",Tabulka3811142632384450[Výsledný čas]="NEÚČAST"),Uvod!$E$4,_xlfn.RANK.EQ(Tabulka3811142632384450[[#This Row],[ ]],Tabulka3811142632384450[[ ]],1))</f>
        <v>1</v>
      </c>
      <c r="AA4" s="78" t="s">
        <v>30</v>
      </c>
      <c r="AB4" s="79">
        <f>VLOOKUP(Tabulka3811142632384450[[#This Row],[Tým]],Tabulka1710132531374349[[Tým]:[ ]],2,FALSE)</f>
        <v>14.78</v>
      </c>
      <c r="AC4" s="79">
        <f>VLOOKUP(Tabulka3811142632384450[[#This Row],[Tým]],Tabulka1710132531374349[[Tým]:[ ]],3,FALSE)</f>
        <v>15.43</v>
      </c>
      <c r="AD4" s="80">
        <f>VLOOKUP(Tabulka3811142632384450[[#This Row],[Tým]],Tabulka1710132531374349[[Tým]:[ ]],4,FALSE)</f>
        <v>15.43</v>
      </c>
      <c r="AE4" s="80">
        <f>VLOOKUP(Tabulka3811142632384450[[#This Row],[Tým]],Tabulka1710132531374349[[Tým]:[ ]],7,FALSE)</f>
        <v>15.43</v>
      </c>
      <c r="AF4" s="81">
        <f>IF(Tabulka3811142632384450[[#This Row],[Výsledný čas]]="N",5,IF(Tabulka3811142632384450[[#This Row],[Výsledný čas]]="D",0,IF(Tabulka3811142632384450[[#This Row],[Výsledný čas]]="NEÚČAST",0,Tabulka4[[#Totals],[Týmy muži]]+6-Tabulka3811142632384450[[#This Row],[Umístění]])))</f>
        <v>24</v>
      </c>
      <c r="AH4" s="77">
        <f>_xlfn.RANK.EQ(Tabulka5912152733394551[[#This Row],[Body]],Tabulka5912152733394551[Body],0)</f>
        <v>1</v>
      </c>
      <c r="AI4" s="78" t="s">
        <v>19</v>
      </c>
      <c r="AJ4" s="81">
        <f>VLOOKUP(Tabulka5912152733394551[[#This Row],[Tým]],Tabulka3811142632384450[[Tým]:[Body]],6,FALSE)+Tabulka5912152733394551[[#This Row],[ ]]</f>
        <v>156</v>
      </c>
      <c r="AK4" s="75">
        <f>VLOOKUP(Tabulka5912152733394551[[#This Row],[Tým]],Tabulka59121527333945[[Tým]:[Body]],2,FALSE)</f>
        <v>133</v>
      </c>
      <c r="AL4" s="113">
        <f>Tabulka5912152733394551[[#This Row],[Umístění]]</f>
        <v>1</v>
      </c>
      <c r="AM4" s="15"/>
      <c r="AP4" s="1"/>
    </row>
    <row r="5" spans="1:42" ht="24.95" customHeight="1" x14ac:dyDescent="0.4">
      <c r="B5" s="30" t="s">
        <v>69</v>
      </c>
      <c r="C5" s="25">
        <f>IF(Tabulka1710132531374349[[#This Row],[ ]]="","",IF(Tabulka1710132531374349[[#This Row],[ ]]="NEÚČAST","",IF(OR(Tabulka1710132531374349[Výsledný čas]="N",Tabulka1710132531374349[Výsledný čas]="D"),$L$4-$L$5,_xlfn.RANK.EQ(Tabulka1710132531374349[[#This Row],[ ]],Tabulka1710132531374349[[ ]],1))))</f>
        <v>2</v>
      </c>
      <c r="D5" s="26" t="s">
        <v>19</v>
      </c>
      <c r="E5" s="5">
        <v>15.98</v>
      </c>
      <c r="F5" s="5">
        <v>15.82</v>
      </c>
      <c r="G5" s="29">
        <f>IF(OR(Tabulka1710132531374349[[#This Row],[LP]]="N",Tabulka1710132531374349[[#This Row],[PP]]="N"),"N",IF(OR(Tabulka1710132531374349[[#This Row],[LP]]="D",Tabulka1710132531374349[[#This Row],[PP]]="D"),"D",IF(OR(Tabulka1710132531374349[[#This Row],[LP]]="NEÚČAST",Tabulka1710132531374349[[#This Row],[PP]]="NEÚČAST"),"NEÚČAST",IF(OR(Tabulka1710132531374349[[#This Row],[LP]]="",Tabulka1710132531374349[[#This Row],[PP]]=""),"",MAX(Tabulka1710132531374349[[#This Row],[LP]:[PP]])))))</f>
        <v>15.98</v>
      </c>
      <c r="H5" s="333">
        <f>COUNTIF(Tabulka1710132531374349[[#This Row],[Tým]],"*")</f>
        <v>1</v>
      </c>
      <c r="I5" s="333">
        <f>COUNTIF(Tabulka1710132531374349[[#This Row],[Výsledný čas]],"NEÚČAST")</f>
        <v>0</v>
      </c>
      <c r="J5" s="9">
        <f>IF(Tabulka1710132531374349[[#This Row],[Výsledný čas]]="N",998,IF(Tabulka1710132531374349[[#This Row],[Výsledný čas]]="D",998,IF(Tabulka1710132531374349[[#This Row],[Výsledný čas]]="","",Tabulka1710132531374349[[#This Row],[Výsledný čas]])))</f>
        <v>15.98</v>
      </c>
      <c r="L5" s="1">
        <f>SUM(Tabulka1710132531374349[Sloupec1])</f>
        <v>3</v>
      </c>
      <c r="N5" s="30" t="s">
        <v>48</v>
      </c>
      <c r="O5" s="25">
        <f>IF(Tabulka17101363036424854[[#This Row],[ ]]="","",IF(Tabulka17101363036424854[[#This Row],[ ]]="NEÚČAST","",IF(OR(Tabulka17101363036424854[Výsledný čas]="N",Tabulka17101363036424854[Výsledný čas]="D"),$X$4-$X$5,_xlfn.RANK.EQ(Tabulka17101363036424854[[#This Row],[ ]],Tabulka17101363036424854[[ ]],1))))</f>
        <v>2</v>
      </c>
      <c r="P5" s="26" t="s">
        <v>34</v>
      </c>
      <c r="Q5" s="5">
        <v>17.77</v>
      </c>
      <c r="R5" s="5">
        <v>17.98</v>
      </c>
      <c r="S5" s="29">
        <f>IF(OR(Tabulka17101363036424854[[#This Row],[LP]]="N",Tabulka17101363036424854[[#This Row],[PP]]="N"),"N",IF(OR(Tabulka17101363036424854[[#This Row],[LP]]="D",Tabulka17101363036424854[[#This Row],[PP]]="D"),"D",IF(OR(Tabulka17101363036424854[[#This Row],[LP]]="NEÚČAST",Tabulka17101363036424854[[#This Row],[PP]]="NEÚČAST"),"NEÚČAST",IF(OR(Tabulka17101363036424854[[#This Row],[LP]]="",Tabulka17101363036424854[[#This Row],[PP]]=""),"",MAX(Tabulka17101363036424854[[#This Row],[LP]:[PP]])))))</f>
        <v>17.98</v>
      </c>
      <c r="T5" s="88">
        <f>COUNTIF(Tabulka17101363036424854[[#This Row],[Tým]],"*")</f>
        <v>1</v>
      </c>
      <c r="U5" s="88">
        <f>COUNTIF(Tabulka17101363036424854[[#This Row],[Výsledný čas]],"NEÚČAST")</f>
        <v>0</v>
      </c>
      <c r="V5" s="88">
        <f>IF(Tabulka17101363036424854[[#This Row],[Výsledný čas]]="N",998,IF(Tabulka17101363036424854[[#This Row],[Výsledný čas]]="D",998,IF(Tabulka17101363036424854[[#This Row],[Výsledný čas]]="","",Tabulka17101363036424854[[#This Row],[Výsledný čas]])))</f>
        <v>17.98</v>
      </c>
      <c r="X5" s="1">
        <f>SUM(Tabulka17101363036424854[Sloupec2])</f>
        <v>0</v>
      </c>
      <c r="Y5" s="15"/>
      <c r="Z5" s="31">
        <f>IF(OR(Tabulka3811142632384450[Výsledný čas]="N",Tabulka3811142632384450[Výsledný čas]="D",Tabulka3811142632384450[Výsledný čas]="NEÚČAST"),Uvod!$E$4,_xlfn.RANK.EQ(Tabulka3811142632384450[[#This Row],[ ]],Tabulka3811142632384450[[ ]],1))</f>
        <v>2</v>
      </c>
      <c r="AA5" s="51" t="s">
        <v>19</v>
      </c>
      <c r="AB5" s="44">
        <f>VLOOKUP(Tabulka3811142632384450[[#This Row],[Tým]],Tabulka1710132531374349[[Tým]:[ ]],2,FALSE)</f>
        <v>15.98</v>
      </c>
      <c r="AC5" s="44">
        <f>VLOOKUP(Tabulka3811142632384450[[#This Row],[Tým]],Tabulka1710132531374349[[Tým]:[ ]],3,FALSE)</f>
        <v>15.82</v>
      </c>
      <c r="AD5" s="25">
        <f>VLOOKUP(Tabulka3811142632384450[[#This Row],[Tým]],Tabulka1710132531374349[[Tým]:[ ]],4,FALSE)</f>
        <v>15.98</v>
      </c>
      <c r="AE5" s="25">
        <f>VLOOKUP(Tabulka3811142632384450[[#This Row],[Tým]],Tabulka1710132531374349[[Tým]:[ ]],7,FALSE)</f>
        <v>15.98</v>
      </c>
      <c r="AF5" s="29">
        <f>IF(Tabulka3811142632384450[[#This Row],[Výsledný čas]]="N",5,IF(Tabulka3811142632384450[[#This Row],[Výsledný čas]]="D",0,IF(Tabulka3811142632384450[[#This Row],[Výsledný čas]]="NEÚČAST",0,Tabulka4[[#Totals],[Týmy muži]]+6-Tabulka3811142632384450[[#This Row],[Umístění]])))</f>
        <v>23</v>
      </c>
      <c r="AH5" s="31">
        <f>_xlfn.RANK.EQ(Tabulka5912152733394551[[#This Row],[Body]],Tabulka5912152733394551[Body],0)</f>
        <v>2</v>
      </c>
      <c r="AI5" s="51" t="s">
        <v>30</v>
      </c>
      <c r="AJ5" s="29">
        <f>VLOOKUP(Tabulka5912152733394551[[#This Row],[Tým]],Tabulka3811142632384450[[Tým]:[Body]],6,FALSE)+Tabulka5912152733394551[[#This Row],[ ]]</f>
        <v>139</v>
      </c>
      <c r="AK5" s="75">
        <f>VLOOKUP(Tabulka5912152733394551[[#This Row],[Tým]],Tabulka59121527333945[[Tým]:[Body]],2,FALSE)</f>
        <v>115</v>
      </c>
      <c r="AL5" s="82">
        <f>Tabulka5912152733394551[[#This Row],[Umístění]]</f>
        <v>2</v>
      </c>
      <c r="AM5" s="15"/>
      <c r="AP5" s="1"/>
    </row>
    <row r="6" spans="1:42" ht="24.95" customHeight="1" x14ac:dyDescent="0.4">
      <c r="B6" s="30" t="s">
        <v>68</v>
      </c>
      <c r="C6" s="25">
        <f>IF(Tabulka1710132531374349[[#This Row],[ ]]="","",IF(Tabulka1710132531374349[[#This Row],[ ]]="NEÚČAST","",IF(OR(Tabulka1710132531374349[Výsledný čas]="N",Tabulka1710132531374349[Výsledný čas]="D"),$L$4-$L$5,_xlfn.RANK.EQ(Tabulka1710132531374349[[#This Row],[ ]],Tabulka1710132531374349[[ ]],1))))</f>
        <v>3</v>
      </c>
      <c r="D6" s="26" t="s">
        <v>24</v>
      </c>
      <c r="E6" s="5">
        <v>15.54</v>
      </c>
      <c r="F6" s="5">
        <v>16.28</v>
      </c>
      <c r="G6" s="29">
        <f>IF(OR(Tabulka1710132531374349[[#This Row],[LP]]="N",Tabulka1710132531374349[[#This Row],[PP]]="N"),"N",IF(OR(Tabulka1710132531374349[[#This Row],[LP]]="D",Tabulka1710132531374349[[#This Row],[PP]]="D"),"D",IF(OR(Tabulka1710132531374349[[#This Row],[LP]]="NEÚČAST",Tabulka1710132531374349[[#This Row],[PP]]="NEÚČAST"),"NEÚČAST",IF(OR(Tabulka1710132531374349[[#This Row],[LP]]="",Tabulka1710132531374349[[#This Row],[PP]]=""),"",MAX(Tabulka1710132531374349[[#This Row],[LP]:[PP]])))))</f>
        <v>16.28</v>
      </c>
      <c r="H6" s="333">
        <f>COUNTIF(Tabulka1710132531374349[[#This Row],[Tým]],"*")</f>
        <v>1</v>
      </c>
      <c r="I6" s="333">
        <f>COUNTIF(Tabulka1710132531374349[[#This Row],[Výsledný čas]],"NEÚČAST")</f>
        <v>0</v>
      </c>
      <c r="J6" s="9">
        <f>IF(Tabulka1710132531374349[[#This Row],[Výsledný čas]]="N",998,IF(Tabulka1710132531374349[[#This Row],[Výsledný čas]]="D",998,IF(Tabulka1710132531374349[[#This Row],[Výsledný čas]]="","",Tabulka1710132531374349[[#This Row],[Výsledný čas]])))</f>
        <v>16.28</v>
      </c>
      <c r="N6" s="30" t="s">
        <v>129</v>
      </c>
      <c r="O6" s="25">
        <f>IF(Tabulka17101363036424854[[#This Row],[ ]]="","",IF(Tabulka17101363036424854[[#This Row],[ ]]="NEÚČAST","",IF(OR(Tabulka17101363036424854[Výsledný čas]="N",Tabulka17101363036424854[Výsledný čas]="D"),$X$4-$X$5,_xlfn.RANK.EQ(Tabulka17101363036424854[[#This Row],[ ]],Tabulka17101363036424854[[ ]],1))))</f>
        <v>3</v>
      </c>
      <c r="P6" s="26" t="s">
        <v>18</v>
      </c>
      <c r="Q6" s="5">
        <v>19.47</v>
      </c>
      <c r="R6" s="5">
        <v>18.329999999999998</v>
      </c>
      <c r="S6" s="29">
        <f>IF(OR(Tabulka17101363036424854[[#This Row],[LP]]="N",Tabulka17101363036424854[[#This Row],[PP]]="N"),"N",IF(OR(Tabulka17101363036424854[[#This Row],[LP]]="D",Tabulka17101363036424854[[#This Row],[PP]]="D"),"D",IF(OR(Tabulka17101363036424854[[#This Row],[LP]]="NEÚČAST",Tabulka17101363036424854[[#This Row],[PP]]="NEÚČAST"),"NEÚČAST",IF(OR(Tabulka17101363036424854[[#This Row],[LP]]="",Tabulka17101363036424854[[#This Row],[PP]]=""),"",MAX(Tabulka17101363036424854[[#This Row],[LP]:[PP]])))))</f>
        <v>19.47</v>
      </c>
      <c r="T6" s="88">
        <f>COUNTIF(Tabulka17101363036424854[[#This Row],[Tým]],"*")</f>
        <v>1</v>
      </c>
      <c r="U6" s="88">
        <f>COUNTIF(Tabulka17101363036424854[[#This Row],[Výsledný čas]],"NEÚČAST")</f>
        <v>0</v>
      </c>
      <c r="V6" s="88">
        <f>IF(Tabulka17101363036424854[[#This Row],[Výsledný čas]]="N",998,IF(Tabulka17101363036424854[[#This Row],[Výsledný čas]]="D",998,IF(Tabulka17101363036424854[[#This Row],[Výsledný čas]]="","",Tabulka17101363036424854[[#This Row],[Výsledný čas]])))</f>
        <v>19.47</v>
      </c>
      <c r="Y6" s="15"/>
      <c r="Z6" s="31">
        <f>IF(OR(Tabulka3811142632384450[Výsledný čas]="N",Tabulka3811142632384450[Výsledný čas]="D",Tabulka3811142632384450[Výsledný čas]="NEÚČAST"),Uvod!$E$4,_xlfn.RANK.EQ(Tabulka3811142632384450[[#This Row],[ ]],Tabulka3811142632384450[[ ]],1))</f>
        <v>3</v>
      </c>
      <c r="AA6" s="51" t="s">
        <v>24</v>
      </c>
      <c r="AB6" s="44">
        <f>VLOOKUP(Tabulka3811142632384450[[#This Row],[Tým]],Tabulka1710132531374349[[Tým]:[ ]],2,FALSE)</f>
        <v>15.54</v>
      </c>
      <c r="AC6" s="44">
        <f>VLOOKUP(Tabulka3811142632384450[[#This Row],[Tým]],Tabulka1710132531374349[[Tým]:[ ]],3,FALSE)</f>
        <v>16.28</v>
      </c>
      <c r="AD6" s="25">
        <f>VLOOKUP(Tabulka3811142632384450[[#This Row],[Tým]],Tabulka1710132531374349[[Tým]:[ ]],4,FALSE)</f>
        <v>16.28</v>
      </c>
      <c r="AE6" s="25">
        <f>VLOOKUP(Tabulka3811142632384450[[#This Row],[Tým]],Tabulka1710132531374349[[Tým]:[ ]],7,FALSE)</f>
        <v>16.28</v>
      </c>
      <c r="AF6" s="29">
        <f>IF(Tabulka3811142632384450[[#This Row],[Výsledný čas]]="N",5,IF(Tabulka3811142632384450[[#This Row],[Výsledný čas]]="D",0,IF(Tabulka3811142632384450[[#This Row],[Výsledný čas]]="NEÚČAST",0,Tabulka4[[#Totals],[Týmy muži]]+6-Tabulka3811142632384450[[#This Row],[Umístění]])))</f>
        <v>22</v>
      </c>
      <c r="AH6" s="31">
        <f>_xlfn.RANK.EQ(Tabulka5912152733394551[[#This Row],[Body]],Tabulka5912152733394551[Body],0)</f>
        <v>2</v>
      </c>
      <c r="AI6" s="51" t="s">
        <v>23</v>
      </c>
      <c r="AJ6" s="29">
        <f>VLOOKUP(Tabulka5912152733394551[[#This Row],[Tým]],Tabulka3811142632384450[[Tým]:[Body]],6,FALSE)+Tabulka5912152733394551[[#This Row],[ ]]</f>
        <v>139</v>
      </c>
      <c r="AK6" s="75">
        <f>VLOOKUP(Tabulka5912152733394551[[#This Row],[Tým]],Tabulka59121527333945[[Tým]:[Body]],2,FALSE)</f>
        <v>120</v>
      </c>
      <c r="AL6" s="82">
        <f>Tabulka5912152733394551[[#This Row],[Umístění]]</f>
        <v>2</v>
      </c>
      <c r="AM6" s="15"/>
      <c r="AP6" s="1"/>
    </row>
    <row r="7" spans="1:42" ht="24.95" customHeight="1" x14ac:dyDescent="0.4">
      <c r="B7" s="30" t="s">
        <v>54</v>
      </c>
      <c r="C7" s="25">
        <f>IF(Tabulka1710132531374349[[#This Row],[ ]]="","",IF(Tabulka1710132531374349[[#This Row],[ ]]="NEÚČAST","",IF(OR(Tabulka1710132531374349[Výsledný čas]="N",Tabulka1710132531374349[Výsledný čas]="D"),$L$4-$L$5,_xlfn.RANK.EQ(Tabulka1710132531374349[[#This Row],[ ]],Tabulka1710132531374349[[ ]],1))))</f>
        <v>4</v>
      </c>
      <c r="D7" s="354" t="s">
        <v>18</v>
      </c>
      <c r="E7" s="5">
        <v>16.350000000000001</v>
      </c>
      <c r="F7" s="5">
        <v>15.15</v>
      </c>
      <c r="G7" s="29">
        <f>IF(OR(Tabulka1710132531374349[[#This Row],[LP]]="N",Tabulka1710132531374349[[#This Row],[PP]]="N"),"N",IF(OR(Tabulka1710132531374349[[#This Row],[LP]]="D",Tabulka1710132531374349[[#This Row],[PP]]="D"),"D",IF(OR(Tabulka1710132531374349[[#This Row],[LP]]="NEÚČAST",Tabulka1710132531374349[[#This Row],[PP]]="NEÚČAST"),"NEÚČAST",IF(OR(Tabulka1710132531374349[[#This Row],[LP]]="",Tabulka1710132531374349[[#This Row],[PP]]=""),"",MAX(Tabulka1710132531374349[[#This Row],[LP]:[PP]])))))</f>
        <v>16.350000000000001</v>
      </c>
      <c r="H7" s="333">
        <f>COUNTIF(Tabulka1710132531374349[[#This Row],[Tým]],"*")</f>
        <v>1</v>
      </c>
      <c r="I7" s="333">
        <f>COUNTIF(Tabulka1710132531374349[[#This Row],[Výsledný čas]],"NEÚČAST")</f>
        <v>0</v>
      </c>
      <c r="J7" s="9">
        <f>IF(Tabulka1710132531374349[[#This Row],[Výsledný čas]]="N",998,IF(Tabulka1710132531374349[[#This Row],[Výsledný čas]]="D",998,IF(Tabulka1710132531374349[[#This Row],[Výsledný čas]]="","",Tabulka1710132531374349[[#This Row],[Výsledný čas]])))</f>
        <v>16.350000000000001</v>
      </c>
      <c r="N7" s="31" t="s">
        <v>100</v>
      </c>
      <c r="O7" s="25">
        <f>IF(Tabulka17101363036424854[[#This Row],[ ]]="","",IF(Tabulka17101363036424854[[#This Row],[ ]]="NEÚČAST","",IF(OR(Tabulka17101363036424854[Výsledný čas]="N",Tabulka17101363036424854[Výsledný čas]="D"),$X$4-$X$5,_xlfn.RANK.EQ(Tabulka17101363036424854[[#This Row],[ ]],Tabulka17101363036424854[[ ]],1))))</f>
        <v>4</v>
      </c>
      <c r="P7" s="26" t="s">
        <v>23</v>
      </c>
      <c r="Q7" s="5">
        <v>20.29</v>
      </c>
      <c r="R7" s="5">
        <v>19.510000000000002</v>
      </c>
      <c r="S7" s="29">
        <f>IF(OR(Tabulka17101363036424854[[#This Row],[LP]]="N",Tabulka17101363036424854[[#This Row],[PP]]="N"),"N",IF(OR(Tabulka17101363036424854[[#This Row],[LP]]="D",Tabulka17101363036424854[[#This Row],[PP]]="D"),"D",IF(OR(Tabulka17101363036424854[[#This Row],[LP]]="NEÚČAST",Tabulka17101363036424854[[#This Row],[PP]]="NEÚČAST"),"NEÚČAST",IF(OR(Tabulka17101363036424854[[#This Row],[LP]]="",Tabulka17101363036424854[[#This Row],[PP]]=""),"",MAX(Tabulka17101363036424854[[#This Row],[LP]:[PP]])))))</f>
        <v>20.29</v>
      </c>
      <c r="T7" s="88">
        <f>COUNTIF(Tabulka17101363036424854[[#This Row],[Tým]],"*")</f>
        <v>1</v>
      </c>
      <c r="U7" s="88">
        <f>COUNTIF(Tabulka17101363036424854[[#This Row],[Výsledný čas]],"NEÚČAST")</f>
        <v>0</v>
      </c>
      <c r="V7" s="88">
        <f>IF(Tabulka17101363036424854[[#This Row],[Výsledný čas]]="N",998,IF(Tabulka17101363036424854[[#This Row],[Výsledný čas]]="D",998,IF(Tabulka17101363036424854[[#This Row],[Výsledný čas]]="","",Tabulka17101363036424854[[#This Row],[Výsledný čas]])))</f>
        <v>20.29</v>
      </c>
      <c r="Y7" s="15"/>
      <c r="Z7" s="31">
        <f>IF(OR(Tabulka3811142632384450[Výsledný čas]="N",Tabulka3811142632384450[Výsledný čas]="D",Tabulka3811142632384450[Výsledný čas]="NEÚČAST"),Uvod!$E$4,_xlfn.RANK.EQ(Tabulka3811142632384450[[#This Row],[ ]],Tabulka3811142632384450[[ ]],1))</f>
        <v>4</v>
      </c>
      <c r="AA7" s="51" t="s">
        <v>18</v>
      </c>
      <c r="AB7" s="44">
        <f>VLOOKUP(Tabulka3811142632384450[[#This Row],[Tým]],Tabulka1710132531374349[[Tým]:[ ]],2,FALSE)</f>
        <v>16.350000000000001</v>
      </c>
      <c r="AC7" s="44">
        <f>VLOOKUP(Tabulka3811142632384450[[#This Row],[Tým]],Tabulka1710132531374349[[Tým]:[ ]],3,FALSE)</f>
        <v>15.15</v>
      </c>
      <c r="AD7" s="25">
        <f>VLOOKUP(Tabulka3811142632384450[[#This Row],[Tým]],Tabulka1710132531374349[[Tým]:[ ]],4,FALSE)</f>
        <v>16.350000000000001</v>
      </c>
      <c r="AE7" s="25">
        <f>VLOOKUP(Tabulka3811142632384450[[#This Row],[Tým]],Tabulka1710132531374349[[Tým]:[ ]],7,FALSE)</f>
        <v>16.350000000000001</v>
      </c>
      <c r="AF7" s="29">
        <f>IF(Tabulka3811142632384450[[#This Row],[Výsledný čas]]="N",5,IF(Tabulka3811142632384450[[#This Row],[Výsledný čas]]="D",0,IF(Tabulka3811142632384450[[#This Row],[Výsledný čas]]="NEÚČAST",0,Tabulka4[[#Totals],[Týmy muži]]+6-Tabulka3811142632384450[[#This Row],[Umístění]])))</f>
        <v>21</v>
      </c>
      <c r="AH7" s="31">
        <f>_xlfn.RANK.EQ(Tabulka5912152733394551[[#This Row],[Body]],Tabulka5912152733394551[Body],0)</f>
        <v>4</v>
      </c>
      <c r="AI7" s="51" t="s">
        <v>10</v>
      </c>
      <c r="AJ7" s="29">
        <f>VLOOKUP(Tabulka5912152733394551[[#This Row],[Tým]],Tabulka3811142632384450[[Tým]:[Body]],6,FALSE)+Tabulka5912152733394551[[#This Row],[ ]]</f>
        <v>132</v>
      </c>
      <c r="AK7" s="75">
        <f>VLOOKUP(Tabulka5912152733394551[[#This Row],[Tým]],Tabulka59121527333945[[Tým]:[Body]],2,FALSE)</f>
        <v>115</v>
      </c>
      <c r="AL7" s="82">
        <f>Tabulka5912152733394551[[#This Row],[Umístění]]</f>
        <v>4</v>
      </c>
      <c r="AM7" s="15"/>
      <c r="AP7" s="1"/>
    </row>
    <row r="8" spans="1:42" ht="24.95" customHeight="1" x14ac:dyDescent="0.4">
      <c r="B8" s="30" t="s">
        <v>62</v>
      </c>
      <c r="C8" s="25">
        <f>IF(Tabulka1710132531374349[[#This Row],[ ]]="","",IF(Tabulka1710132531374349[[#This Row],[ ]]="NEÚČAST","",IF(OR(Tabulka1710132531374349[Výsledný čas]="N",Tabulka1710132531374349[Výsledný čas]="D"),$L$4-$L$5,_xlfn.RANK.EQ(Tabulka1710132531374349[[#This Row],[ ]],Tabulka1710132531374349[[ ]],1))))</f>
        <v>5</v>
      </c>
      <c r="D8" s="26" t="s">
        <v>16</v>
      </c>
      <c r="E8" s="5">
        <v>16.489999999999998</v>
      </c>
      <c r="F8" s="5">
        <v>16.22</v>
      </c>
      <c r="G8" s="29">
        <f>IF(OR(Tabulka1710132531374349[[#This Row],[LP]]="N",Tabulka1710132531374349[[#This Row],[PP]]="N"),"N",IF(OR(Tabulka1710132531374349[[#This Row],[LP]]="D",Tabulka1710132531374349[[#This Row],[PP]]="D"),"D",IF(OR(Tabulka1710132531374349[[#This Row],[LP]]="NEÚČAST",Tabulka1710132531374349[[#This Row],[PP]]="NEÚČAST"),"NEÚČAST",IF(OR(Tabulka1710132531374349[[#This Row],[LP]]="",Tabulka1710132531374349[[#This Row],[PP]]=""),"",MAX(Tabulka1710132531374349[[#This Row],[LP]:[PP]])))))</f>
        <v>16.489999999999998</v>
      </c>
      <c r="H8" s="333">
        <f>COUNTIF(Tabulka1710132531374349[[#This Row],[Tým]],"*")</f>
        <v>1</v>
      </c>
      <c r="I8" s="333">
        <f>COUNTIF(Tabulka1710132531374349[[#This Row],[Výsledný čas]],"NEÚČAST")</f>
        <v>0</v>
      </c>
      <c r="J8" s="9">
        <f>IF(Tabulka1710132531374349[[#This Row],[Výsledný čas]]="N",998,IF(Tabulka1710132531374349[[#This Row],[Výsledný čas]]="D",998,IF(Tabulka1710132531374349[[#This Row],[Výsledný čas]]="","",Tabulka1710132531374349[[#This Row],[Výsledný čas]])))</f>
        <v>16.489999999999998</v>
      </c>
      <c r="N8" s="31" t="s">
        <v>41</v>
      </c>
      <c r="O8" s="25">
        <f>IF(Tabulka17101363036424854[[#This Row],[ ]]="","",IF(Tabulka17101363036424854[[#This Row],[ ]]="NEÚČAST","",IF(OR(Tabulka17101363036424854[Výsledný čas]="N",Tabulka17101363036424854[Výsledný čas]="D"),$X$4-$X$5,_xlfn.RANK.EQ(Tabulka17101363036424854[[#This Row],[ ]],Tabulka17101363036424854[[ ]],1))))</f>
        <v>5</v>
      </c>
      <c r="P8" s="26" t="s">
        <v>21</v>
      </c>
      <c r="Q8" s="5">
        <v>19.12</v>
      </c>
      <c r="R8" s="5">
        <v>20.32</v>
      </c>
      <c r="S8" s="29">
        <f>IF(OR(Tabulka17101363036424854[[#This Row],[LP]]="N",Tabulka17101363036424854[[#This Row],[PP]]="N"),"N",IF(OR(Tabulka17101363036424854[[#This Row],[LP]]="D",Tabulka17101363036424854[[#This Row],[PP]]="D"),"D",IF(OR(Tabulka17101363036424854[[#This Row],[LP]]="NEÚČAST",Tabulka17101363036424854[[#This Row],[PP]]="NEÚČAST"),"NEÚČAST",IF(OR(Tabulka17101363036424854[[#This Row],[LP]]="",Tabulka17101363036424854[[#This Row],[PP]]=""),"",MAX(Tabulka17101363036424854[[#This Row],[LP]:[PP]])))))</f>
        <v>20.32</v>
      </c>
      <c r="T8" s="88">
        <f>COUNTIF(Tabulka17101363036424854[[#This Row],[Tým]],"*")</f>
        <v>1</v>
      </c>
      <c r="U8" s="88">
        <f>COUNTIF(Tabulka17101363036424854[[#This Row],[Výsledný čas]],"NEÚČAST")</f>
        <v>0</v>
      </c>
      <c r="V8" s="88">
        <f>IF(Tabulka17101363036424854[[#This Row],[Výsledný čas]]="N",998,IF(Tabulka17101363036424854[[#This Row],[Výsledný čas]]="D",998,IF(Tabulka17101363036424854[[#This Row],[Výsledný čas]]="","",Tabulka17101363036424854[[#This Row],[Výsledný čas]])))</f>
        <v>20.32</v>
      </c>
      <c r="Y8" s="15"/>
      <c r="Z8" s="31">
        <f>IF(OR(Tabulka3811142632384450[Výsledný čas]="N",Tabulka3811142632384450[Výsledný čas]="D",Tabulka3811142632384450[Výsledný čas]="NEÚČAST"),Uvod!$E$4,_xlfn.RANK.EQ(Tabulka3811142632384450[[#This Row],[ ]],Tabulka3811142632384450[[ ]],1))</f>
        <v>5</v>
      </c>
      <c r="AA8" s="51" t="s">
        <v>16</v>
      </c>
      <c r="AB8" s="44">
        <f>VLOOKUP(Tabulka3811142632384450[[#This Row],[Tým]],Tabulka1710132531374349[[Tým]:[ ]],2,FALSE)</f>
        <v>16.489999999999998</v>
      </c>
      <c r="AC8" s="44">
        <f>VLOOKUP(Tabulka3811142632384450[[#This Row],[Tým]],Tabulka1710132531374349[[Tým]:[ ]],3,FALSE)</f>
        <v>16.22</v>
      </c>
      <c r="AD8" s="25">
        <f>VLOOKUP(Tabulka3811142632384450[[#This Row],[Tým]],Tabulka1710132531374349[[Tým]:[ ]],4,FALSE)</f>
        <v>16.489999999999998</v>
      </c>
      <c r="AE8" s="25">
        <f>VLOOKUP(Tabulka3811142632384450[[#This Row],[Tým]],Tabulka1710132531374349[[Tým]:[ ]],7,FALSE)</f>
        <v>16.489999999999998</v>
      </c>
      <c r="AF8" s="29">
        <f>IF(Tabulka3811142632384450[[#This Row],[Výsledný čas]]="N",5,IF(Tabulka3811142632384450[[#This Row],[Výsledný čas]]="D",0,IF(Tabulka3811142632384450[[#This Row],[Výsledný čas]]="NEÚČAST",0,Tabulka4[[#Totals],[Týmy muži]]+6-Tabulka3811142632384450[[#This Row],[Umístění]])))</f>
        <v>20</v>
      </c>
      <c r="AH8" s="31">
        <f>_xlfn.RANK.EQ(Tabulka5912152733394551[[#This Row],[Body]],Tabulka5912152733394551[Body],0)</f>
        <v>5</v>
      </c>
      <c r="AI8" s="51" t="s">
        <v>22</v>
      </c>
      <c r="AJ8" s="29">
        <f>VLOOKUP(Tabulka5912152733394551[[#This Row],[Tým]],Tabulka3811142632384450[[Tým]:[Body]],6,FALSE)+Tabulka5912152733394551[[#This Row],[ ]]</f>
        <v>129</v>
      </c>
      <c r="AK8" s="75">
        <f>VLOOKUP(Tabulka5912152733394551[[#This Row],[Tým]],Tabulka59121527333945[[Tým]:[Body]],2,FALSE)</f>
        <v>111</v>
      </c>
      <c r="AL8" s="82">
        <f>Tabulka5912152733394551[[#This Row],[Umístění]]</f>
        <v>5</v>
      </c>
      <c r="AM8" s="15"/>
      <c r="AP8" s="1"/>
    </row>
    <row r="9" spans="1:42" ht="24.95" customHeight="1" x14ac:dyDescent="0.4">
      <c r="B9" s="32" t="s">
        <v>156</v>
      </c>
      <c r="C9" s="25">
        <f>IF(Tabulka1710132531374349[[#This Row],[ ]]="","",IF(Tabulka1710132531374349[[#This Row],[ ]]="NEÚČAST","",IF(OR(Tabulka1710132531374349[Výsledný čas]="N",Tabulka1710132531374349[Výsledný čas]="D"),$L$4-$L$5,_xlfn.RANK.EQ(Tabulka1710132531374349[[#This Row],[ ]],Tabulka1710132531374349[[ ]],1))))</f>
        <v>6</v>
      </c>
      <c r="D9" s="26" t="s">
        <v>23</v>
      </c>
      <c r="E9" s="5">
        <v>16.07</v>
      </c>
      <c r="F9" s="5">
        <v>16.579999999999998</v>
      </c>
      <c r="G9" s="29">
        <f>IF(OR(Tabulka1710132531374349[[#This Row],[LP]]="N",Tabulka1710132531374349[[#This Row],[PP]]="N"),"N",IF(OR(Tabulka1710132531374349[[#This Row],[LP]]="D",Tabulka1710132531374349[[#This Row],[PP]]="D"),"D",IF(OR(Tabulka1710132531374349[[#This Row],[LP]]="NEÚČAST",Tabulka1710132531374349[[#This Row],[PP]]="NEÚČAST"),"NEÚČAST",IF(OR(Tabulka1710132531374349[[#This Row],[LP]]="",Tabulka1710132531374349[[#This Row],[PP]]=""),"",MAX(Tabulka1710132531374349[[#This Row],[LP]:[PP]])))))</f>
        <v>16.579999999999998</v>
      </c>
      <c r="H9" s="333">
        <f>COUNTIF(Tabulka1710132531374349[[#This Row],[Tým]],"*")</f>
        <v>1</v>
      </c>
      <c r="I9" s="333">
        <f>COUNTIF(Tabulka1710132531374349[[#This Row],[Výsledný čas]],"NEÚČAST")</f>
        <v>0</v>
      </c>
      <c r="J9" s="9">
        <f>IF(Tabulka1710132531374349[[#This Row],[Výsledný čas]]="N",998,IF(Tabulka1710132531374349[[#This Row],[Výsledný čas]]="D",998,IF(Tabulka1710132531374349[[#This Row],[Výsledný čas]]="","",Tabulka1710132531374349[[#This Row],[Výsledný čas]])))</f>
        <v>16.579999999999998</v>
      </c>
      <c r="N9" s="30" t="s">
        <v>57</v>
      </c>
      <c r="O9" s="25">
        <f>IF(Tabulka17101363036424854[[#This Row],[ ]]="","",IF(Tabulka17101363036424854[[#This Row],[ ]]="NEÚČAST","",IF(OR(Tabulka17101363036424854[Výsledný čas]="N",Tabulka17101363036424854[Výsledný čas]="D"),$X$4-$X$5,_xlfn.RANK.EQ(Tabulka17101363036424854[[#This Row],[ ]],Tabulka17101363036424854[[ ]],1))))</f>
        <v>6</v>
      </c>
      <c r="P9" s="26" t="s">
        <v>35</v>
      </c>
      <c r="Q9" s="5">
        <v>20.92</v>
      </c>
      <c r="R9" s="5">
        <v>17.690000000000001</v>
      </c>
      <c r="S9" s="29">
        <f>IF(OR(Tabulka17101363036424854[[#This Row],[LP]]="N",Tabulka17101363036424854[[#This Row],[PP]]="N"),"N",IF(OR(Tabulka17101363036424854[[#This Row],[LP]]="D",Tabulka17101363036424854[[#This Row],[PP]]="D"),"D",IF(OR(Tabulka17101363036424854[[#This Row],[LP]]="NEÚČAST",Tabulka17101363036424854[[#This Row],[PP]]="NEÚČAST"),"NEÚČAST",IF(OR(Tabulka17101363036424854[[#This Row],[LP]]="",Tabulka17101363036424854[[#This Row],[PP]]=""),"",MAX(Tabulka17101363036424854[[#This Row],[LP]:[PP]])))))</f>
        <v>20.92</v>
      </c>
      <c r="T9" s="88">
        <f>COUNTIF(Tabulka17101363036424854[[#This Row],[Tým]],"*")</f>
        <v>1</v>
      </c>
      <c r="U9" s="88">
        <f>COUNTIF(Tabulka17101363036424854[[#This Row],[Výsledný čas]],"NEÚČAST")</f>
        <v>0</v>
      </c>
      <c r="V9" s="88">
        <f>IF(Tabulka17101363036424854[[#This Row],[Výsledný čas]]="N",998,IF(Tabulka17101363036424854[[#This Row],[Výsledný čas]]="D",998,IF(Tabulka17101363036424854[[#This Row],[Výsledný čas]]="","",Tabulka17101363036424854[[#This Row],[Výsledný čas]])))</f>
        <v>20.92</v>
      </c>
      <c r="Y9" s="15"/>
      <c r="Z9" s="31">
        <f>IF(OR(Tabulka3811142632384450[Výsledný čas]="N",Tabulka3811142632384450[Výsledný čas]="D",Tabulka3811142632384450[Výsledný čas]="NEÚČAST"),Uvod!$E$4,_xlfn.RANK.EQ(Tabulka3811142632384450[[#This Row],[ ]],Tabulka3811142632384450[[ ]],1))</f>
        <v>6</v>
      </c>
      <c r="AA9" s="51" t="s">
        <v>23</v>
      </c>
      <c r="AB9" s="44">
        <f>VLOOKUP(Tabulka3811142632384450[[#This Row],[Tým]],Tabulka1710132531374349[[Tým]:[ ]],2,FALSE)</f>
        <v>16.07</v>
      </c>
      <c r="AC9" s="44">
        <f>VLOOKUP(Tabulka3811142632384450[[#This Row],[Tým]],Tabulka1710132531374349[[Tým]:[ ]],3,FALSE)</f>
        <v>16.579999999999998</v>
      </c>
      <c r="AD9" s="25">
        <f>VLOOKUP(Tabulka3811142632384450[[#This Row],[Tým]],Tabulka1710132531374349[[Tým]:[ ]],4,FALSE)</f>
        <v>16.579999999999998</v>
      </c>
      <c r="AE9" s="25">
        <f>VLOOKUP(Tabulka3811142632384450[[#This Row],[Tým]],Tabulka1710132531374349[[Tým]:[ ]],7,FALSE)</f>
        <v>16.579999999999998</v>
      </c>
      <c r="AF9" s="29">
        <f>IF(Tabulka3811142632384450[[#This Row],[Výsledný čas]]="N",5,IF(Tabulka3811142632384450[[#This Row],[Výsledný čas]]="D",0,IF(Tabulka3811142632384450[[#This Row],[Výsledný čas]]="NEÚČAST",0,Tabulka4[[#Totals],[Týmy muži]]+6-Tabulka3811142632384450[[#This Row],[Umístění]])))</f>
        <v>19</v>
      </c>
      <c r="AH9" s="31">
        <f>_xlfn.RANK.EQ(Tabulka5912152733394551[[#This Row],[Body]],Tabulka5912152733394551[Body],0)</f>
        <v>6</v>
      </c>
      <c r="AI9" s="51" t="s">
        <v>20</v>
      </c>
      <c r="AJ9" s="29">
        <f>VLOOKUP(Tabulka5912152733394551[[#This Row],[Tým]],Tabulka3811142632384450[[Tým]:[Body]],6,FALSE)+Tabulka5912152733394551[[#This Row],[ ]]</f>
        <v>123</v>
      </c>
      <c r="AK9" s="75">
        <f>VLOOKUP(Tabulka5912152733394551[[#This Row],[Tým]],Tabulka59121527333945[[Tým]:[Body]],2,FALSE)</f>
        <v>108</v>
      </c>
      <c r="AL9" s="82">
        <f>Tabulka5912152733394551[[#This Row],[Umístění]]</f>
        <v>6</v>
      </c>
      <c r="AM9" s="15"/>
      <c r="AP9" s="1"/>
    </row>
    <row r="10" spans="1:42" ht="24.95" customHeight="1" x14ac:dyDescent="0.4">
      <c r="B10" s="30" t="s">
        <v>44</v>
      </c>
      <c r="C10" s="25">
        <f>IF(Tabulka1710132531374349[[#This Row],[ ]]="","",IF(Tabulka1710132531374349[[#This Row],[ ]]="NEÚČAST","",IF(OR(Tabulka1710132531374349[Výsledný čas]="N",Tabulka1710132531374349[Výsledný čas]="D"),$L$4-$L$5,_xlfn.RANK.EQ(Tabulka1710132531374349[[#This Row],[ ]],Tabulka1710132531374349[[ ]],1))))</f>
        <v>7</v>
      </c>
      <c r="D10" s="26" t="s">
        <v>22</v>
      </c>
      <c r="E10" s="5">
        <v>16.77</v>
      </c>
      <c r="F10" s="5">
        <v>15.79</v>
      </c>
      <c r="G10" s="29">
        <f>IF(OR(Tabulka1710132531374349[[#This Row],[LP]]="N",Tabulka1710132531374349[[#This Row],[PP]]="N"),"N",IF(OR(Tabulka1710132531374349[[#This Row],[LP]]="D",Tabulka1710132531374349[[#This Row],[PP]]="D"),"D",IF(OR(Tabulka1710132531374349[[#This Row],[LP]]="NEÚČAST",Tabulka1710132531374349[[#This Row],[PP]]="NEÚČAST"),"NEÚČAST",IF(OR(Tabulka1710132531374349[[#This Row],[LP]]="",Tabulka1710132531374349[[#This Row],[PP]]=""),"",MAX(Tabulka1710132531374349[[#This Row],[LP]:[PP]])))))</f>
        <v>16.77</v>
      </c>
      <c r="H10" s="333">
        <f>COUNTIF(Tabulka1710132531374349[[#This Row],[Tým]],"*")</f>
        <v>1</v>
      </c>
      <c r="I10" s="333">
        <f>COUNTIF(Tabulka1710132531374349[[#This Row],[Výsledný čas]],"NEÚČAST")</f>
        <v>0</v>
      </c>
      <c r="J10" s="9">
        <f>IF(Tabulka1710132531374349[[#This Row],[Výsledný čas]]="N",998,IF(Tabulka1710132531374349[[#This Row],[Výsledný čas]]="D",998,IF(Tabulka1710132531374349[[#This Row],[Výsledný čas]]="","",Tabulka1710132531374349[[#This Row],[Výsledný čas]])))</f>
        <v>16.77</v>
      </c>
      <c r="N10" s="30" t="s">
        <v>60</v>
      </c>
      <c r="O10" s="25">
        <f>IF(Tabulka17101363036424854[[#This Row],[ ]]="","",IF(Tabulka17101363036424854[[#This Row],[ ]]="NEÚČAST","",IF(OR(Tabulka17101363036424854[Výsledný čas]="N",Tabulka17101363036424854[Výsledný čas]="D"),$X$4-$X$5,_xlfn.RANK.EQ(Tabulka17101363036424854[[#This Row],[ ]],Tabulka17101363036424854[[ ]],1))))</f>
        <v>7</v>
      </c>
      <c r="P10" s="26" t="s">
        <v>16</v>
      </c>
      <c r="Q10" s="5">
        <v>20.74</v>
      </c>
      <c r="R10" s="5">
        <v>21.43</v>
      </c>
      <c r="S10" s="29">
        <f>IF(OR(Tabulka17101363036424854[[#This Row],[LP]]="N",Tabulka17101363036424854[[#This Row],[PP]]="N"),"N",IF(OR(Tabulka17101363036424854[[#This Row],[LP]]="D",Tabulka17101363036424854[[#This Row],[PP]]="D"),"D",IF(OR(Tabulka17101363036424854[[#This Row],[LP]]="NEÚČAST",Tabulka17101363036424854[[#This Row],[PP]]="NEÚČAST"),"NEÚČAST",IF(OR(Tabulka17101363036424854[[#This Row],[LP]]="",Tabulka17101363036424854[[#This Row],[PP]]=""),"",MAX(Tabulka17101363036424854[[#This Row],[LP]:[PP]])))))</f>
        <v>21.43</v>
      </c>
      <c r="T10" s="88">
        <f>COUNTIF(Tabulka17101363036424854[[#This Row],[Tým]],"*")</f>
        <v>1</v>
      </c>
      <c r="U10" s="88">
        <f>COUNTIF(Tabulka17101363036424854[[#This Row],[Výsledný čas]],"NEÚČAST")</f>
        <v>0</v>
      </c>
      <c r="V10" s="88">
        <f>IF(Tabulka17101363036424854[[#This Row],[Výsledný čas]]="N",998,IF(Tabulka17101363036424854[[#This Row],[Výsledný čas]]="D",998,IF(Tabulka17101363036424854[[#This Row],[Výsledný čas]]="","",Tabulka17101363036424854[[#This Row],[Výsledný čas]])))</f>
        <v>21.43</v>
      </c>
      <c r="Y10" s="15"/>
      <c r="Z10" s="31">
        <f>IF(OR(Tabulka3811142632384450[Výsledný čas]="N",Tabulka3811142632384450[Výsledný čas]="D",Tabulka3811142632384450[Výsledný čas]="NEÚČAST"),Uvod!$E$4,_xlfn.RANK.EQ(Tabulka3811142632384450[[#This Row],[ ]],Tabulka3811142632384450[[ ]],1))</f>
        <v>7</v>
      </c>
      <c r="AA10" s="51" t="s">
        <v>22</v>
      </c>
      <c r="AB10" s="44">
        <f>VLOOKUP(Tabulka3811142632384450[[#This Row],[Tým]],Tabulka1710132531374349[[Tým]:[ ]],2,FALSE)</f>
        <v>16.77</v>
      </c>
      <c r="AC10" s="44">
        <f>VLOOKUP(Tabulka3811142632384450[[#This Row],[Tým]],Tabulka1710132531374349[[Tým]:[ ]],3,FALSE)</f>
        <v>15.79</v>
      </c>
      <c r="AD10" s="25">
        <f>VLOOKUP(Tabulka3811142632384450[[#This Row],[Tým]],Tabulka1710132531374349[[Tým]:[ ]],4,FALSE)</f>
        <v>16.77</v>
      </c>
      <c r="AE10" s="25">
        <f>VLOOKUP(Tabulka3811142632384450[[#This Row],[Tým]],Tabulka1710132531374349[[Tým]:[ ]],7,FALSE)</f>
        <v>16.77</v>
      </c>
      <c r="AF10" s="29">
        <f>IF(Tabulka3811142632384450[[#This Row],[Výsledný čas]]="N",5,IF(Tabulka3811142632384450[[#This Row],[Výsledný čas]]="D",0,IF(Tabulka3811142632384450[[#This Row],[Výsledný čas]]="NEÚČAST",0,Tabulka4[[#Totals],[Týmy muži]]+6-Tabulka3811142632384450[[#This Row],[Umístění]])))</f>
        <v>18</v>
      </c>
      <c r="AH10" s="31">
        <f>_xlfn.RANK.EQ(Tabulka5912152733394551[[#This Row],[Body]],Tabulka5912152733394551[Body],0)</f>
        <v>7</v>
      </c>
      <c r="AI10" s="51" t="s">
        <v>16</v>
      </c>
      <c r="AJ10" s="29">
        <f>VLOOKUP(Tabulka5912152733394551[[#This Row],[Tým]],Tabulka3811142632384450[[Tým]:[Body]],6,FALSE)+Tabulka5912152733394551[[#This Row],[ ]]</f>
        <v>117</v>
      </c>
      <c r="AK10" s="75">
        <f>VLOOKUP(Tabulka5912152733394551[[#This Row],[Tým]],Tabulka59121527333945[[Tým]:[Body]],2,FALSE)</f>
        <v>97</v>
      </c>
      <c r="AL10" s="82">
        <f>Tabulka5912152733394551[[#This Row],[Umístění]]</f>
        <v>7</v>
      </c>
      <c r="AM10" s="15"/>
      <c r="AP10" s="1"/>
    </row>
    <row r="11" spans="1:42" ht="24.95" customHeight="1" x14ac:dyDescent="0.4">
      <c r="B11" s="30" t="s">
        <v>99</v>
      </c>
      <c r="C11" s="25">
        <f>IF(Tabulka1710132531374349[[#This Row],[ ]]="","",IF(Tabulka1710132531374349[[#This Row],[ ]]="NEÚČAST","",IF(OR(Tabulka1710132531374349[Výsledný čas]="N",Tabulka1710132531374349[Výsledný čas]="D"),$L$4-$L$5,_xlfn.RANK.EQ(Tabulka1710132531374349[[#This Row],[ ]],Tabulka1710132531374349[[ ]],1))))</f>
        <v>8</v>
      </c>
      <c r="D11" s="26" t="s">
        <v>10</v>
      </c>
      <c r="E11" s="5">
        <v>16.190000000000001</v>
      </c>
      <c r="F11" s="5">
        <v>17</v>
      </c>
      <c r="G11" s="29">
        <f>IF(OR(Tabulka1710132531374349[[#This Row],[LP]]="N",Tabulka1710132531374349[[#This Row],[PP]]="N"),"N",IF(OR(Tabulka1710132531374349[[#This Row],[LP]]="D",Tabulka1710132531374349[[#This Row],[PP]]="D"),"D",IF(OR(Tabulka1710132531374349[[#This Row],[LP]]="NEÚČAST",Tabulka1710132531374349[[#This Row],[PP]]="NEÚČAST"),"NEÚČAST",IF(OR(Tabulka1710132531374349[[#This Row],[LP]]="",Tabulka1710132531374349[[#This Row],[PP]]=""),"",MAX(Tabulka1710132531374349[[#This Row],[LP]:[PP]])))))</f>
        <v>17</v>
      </c>
      <c r="H11" s="333">
        <f>COUNTIF(Tabulka1710132531374349[[#This Row],[Tým]],"*")</f>
        <v>1</v>
      </c>
      <c r="I11" s="333">
        <f>COUNTIF(Tabulka1710132531374349[[#This Row],[Výsledný čas]],"NEÚČAST")</f>
        <v>0</v>
      </c>
      <c r="J11" s="9">
        <f>IF(Tabulka1710132531374349[[#This Row],[Výsledný čas]]="N",998,IF(Tabulka1710132531374349[[#This Row],[Výsledný čas]]="D",998,IF(Tabulka1710132531374349[[#This Row],[Výsledný čas]]="","",Tabulka1710132531374349[[#This Row],[Výsledný čas]])))</f>
        <v>17</v>
      </c>
      <c r="N11" s="30" t="s">
        <v>61</v>
      </c>
      <c r="O11" s="25">
        <f>IF(Tabulka17101363036424854[[#This Row],[ ]]="","",IF(Tabulka17101363036424854[[#This Row],[ ]]="NEÚČAST","",IF(OR(Tabulka17101363036424854[Výsledný čas]="N",Tabulka17101363036424854[Výsledný čas]="D"),$X$4-$X$5,_xlfn.RANK.EQ(Tabulka17101363036424854[[#This Row],[ ]],Tabulka17101363036424854[[ ]],1))))</f>
        <v>8</v>
      </c>
      <c r="P11" s="26" t="s">
        <v>36</v>
      </c>
      <c r="Q11" s="5">
        <v>27.72</v>
      </c>
      <c r="R11" s="5">
        <v>27.31</v>
      </c>
      <c r="S11" s="29">
        <f>IF(OR(Tabulka17101363036424854[[#This Row],[LP]]="N",Tabulka17101363036424854[[#This Row],[PP]]="N"),"N",IF(OR(Tabulka17101363036424854[[#This Row],[LP]]="D",Tabulka17101363036424854[[#This Row],[PP]]="D"),"D",IF(OR(Tabulka17101363036424854[[#This Row],[LP]]="NEÚČAST",Tabulka17101363036424854[[#This Row],[PP]]="NEÚČAST"),"NEÚČAST",IF(OR(Tabulka17101363036424854[[#This Row],[LP]]="",Tabulka17101363036424854[[#This Row],[PP]]=""),"",MAX(Tabulka17101363036424854[[#This Row],[LP]:[PP]])))))</f>
        <v>27.72</v>
      </c>
      <c r="T11" s="88">
        <f>COUNTIF(Tabulka17101363036424854[[#This Row],[Tým]],"*")</f>
        <v>1</v>
      </c>
      <c r="U11" s="88">
        <f>COUNTIF(Tabulka17101363036424854[[#This Row],[Výsledný čas]],"NEÚČAST")</f>
        <v>0</v>
      </c>
      <c r="V11" s="88">
        <f>IF(Tabulka17101363036424854[[#This Row],[Výsledný čas]]="N",998,IF(Tabulka17101363036424854[[#This Row],[Výsledný čas]]="D",998,IF(Tabulka17101363036424854[[#This Row],[Výsledný čas]]="","",Tabulka17101363036424854[[#This Row],[Výsledný čas]])))</f>
        <v>27.72</v>
      </c>
      <c r="Y11" s="15"/>
      <c r="Z11" s="31">
        <f>IF(OR(Tabulka3811142632384450[Výsledný čas]="N",Tabulka3811142632384450[Výsledný čas]="D",Tabulka3811142632384450[Výsledný čas]="NEÚČAST"),Uvod!$E$4,_xlfn.RANK.EQ(Tabulka3811142632384450[[#This Row],[ ]],Tabulka3811142632384450[[ ]],1))</f>
        <v>8</v>
      </c>
      <c r="AA11" s="51" t="s">
        <v>10</v>
      </c>
      <c r="AB11" s="44">
        <f>VLOOKUP(Tabulka3811142632384450[[#This Row],[Tým]],Tabulka1710132531374349[[Tým]:[ ]],2,FALSE)</f>
        <v>16.190000000000001</v>
      </c>
      <c r="AC11" s="44">
        <f>VLOOKUP(Tabulka3811142632384450[[#This Row],[Tým]],Tabulka1710132531374349[[Tým]:[ ]],3,FALSE)</f>
        <v>17</v>
      </c>
      <c r="AD11" s="25">
        <f>VLOOKUP(Tabulka3811142632384450[[#This Row],[Tým]],Tabulka1710132531374349[[Tým]:[ ]],4,FALSE)</f>
        <v>17</v>
      </c>
      <c r="AE11" s="25">
        <f>VLOOKUP(Tabulka3811142632384450[[#This Row],[Tým]],Tabulka1710132531374349[[Tým]:[ ]],7,FALSE)</f>
        <v>17</v>
      </c>
      <c r="AF11" s="29">
        <f>IF(Tabulka3811142632384450[[#This Row],[Výsledný čas]]="N",5,IF(Tabulka3811142632384450[[#This Row],[Výsledný čas]]="D",0,IF(Tabulka3811142632384450[[#This Row],[Výsledný čas]]="NEÚČAST",0,Tabulka4[[#Totals],[Týmy muži]]+6-Tabulka3811142632384450[[#This Row],[Umístění]])))</f>
        <v>17</v>
      </c>
      <c r="AH11" s="31">
        <f>_xlfn.RANK.EQ(Tabulka5912152733394551[[#This Row],[Body]],Tabulka5912152733394551[Body],0)</f>
        <v>8</v>
      </c>
      <c r="AI11" s="51" t="s">
        <v>18</v>
      </c>
      <c r="AJ11" s="29">
        <f>VLOOKUP(Tabulka5912152733394551[[#This Row],[Tým]],Tabulka3811142632384450[[Tým]:[Body]],6,FALSE)+Tabulka5912152733394551[[#This Row],[ ]]</f>
        <v>109</v>
      </c>
      <c r="AK11" s="75">
        <f>VLOOKUP(Tabulka5912152733394551[[#This Row],[Tým]],Tabulka59121527333945[[Tým]:[Body]],2,FALSE)</f>
        <v>88</v>
      </c>
      <c r="AL11" s="82">
        <f>Tabulka5912152733394551[[#This Row],[Umístění]]</f>
        <v>8</v>
      </c>
      <c r="AM11" s="15"/>
      <c r="AP11" s="1"/>
    </row>
    <row r="12" spans="1:42" ht="24.95" customHeight="1" x14ac:dyDescent="0.4">
      <c r="B12" s="30" t="s">
        <v>55</v>
      </c>
      <c r="C12" s="25">
        <f>IF(Tabulka1710132531374349[[#This Row],[ ]]="","",IF(Tabulka1710132531374349[[#This Row],[ ]]="NEÚČAST","",IF(OR(Tabulka1710132531374349[Výsledný čas]="N",Tabulka1710132531374349[Výsledný čas]="D"),$L$4-$L$5,_xlfn.RANK.EQ(Tabulka1710132531374349[[#This Row],[ ]],Tabulka1710132531374349[[ ]],1))))</f>
        <v>9</v>
      </c>
      <c r="D12" s="26" t="s">
        <v>25</v>
      </c>
      <c r="E12" s="5">
        <v>17.239999999999998</v>
      </c>
      <c r="F12" s="5">
        <v>16.73</v>
      </c>
      <c r="G12" s="29">
        <f>IF(OR(Tabulka1710132531374349[[#This Row],[LP]]="N",Tabulka1710132531374349[[#This Row],[PP]]="N"),"N",IF(OR(Tabulka1710132531374349[[#This Row],[LP]]="D",Tabulka1710132531374349[[#This Row],[PP]]="D"),"D",IF(OR(Tabulka1710132531374349[[#This Row],[LP]]="NEÚČAST",Tabulka1710132531374349[[#This Row],[PP]]="NEÚČAST"),"NEÚČAST",IF(OR(Tabulka1710132531374349[[#This Row],[LP]]="",Tabulka1710132531374349[[#This Row],[PP]]=""),"",MAX(Tabulka1710132531374349[[#This Row],[LP]:[PP]])))))</f>
        <v>17.239999999999998</v>
      </c>
      <c r="H12" s="333">
        <f>COUNTIF(Tabulka1710132531374349[[#This Row],[Tým]],"*")</f>
        <v>1</v>
      </c>
      <c r="I12" s="333">
        <f>COUNTIF(Tabulka1710132531374349[[#This Row],[Výsledný čas]],"NEÚČAST")</f>
        <v>0</v>
      </c>
      <c r="J12" s="9">
        <f>IF(Tabulka1710132531374349[[#This Row],[Výsledný čas]]="N",998,IF(Tabulka1710132531374349[[#This Row],[Výsledný čas]]="D",998,IF(Tabulka1710132531374349[[#This Row],[Výsledný čas]]="","",Tabulka1710132531374349[[#This Row],[Výsledný čas]])))</f>
        <v>17.239999999999998</v>
      </c>
      <c r="N12" s="31" t="s">
        <v>158</v>
      </c>
      <c r="O12" s="25">
        <f>IF(Tabulka17101363036424854[[#This Row],[ ]]="","",IF(Tabulka17101363036424854[[#This Row],[ ]]="NEÚČAST","",IF(OR(Tabulka17101363036424854[Výsledný čas]="N",Tabulka17101363036424854[Výsledný čas]="D"),$X$4-$X$5,_xlfn.RANK.EQ(Tabulka17101363036424854[[#This Row],[ ]],Tabulka17101363036424854[[ ]],1))))</f>
        <v>9</v>
      </c>
      <c r="P12" s="26" t="s">
        <v>15</v>
      </c>
      <c r="Q12" s="5">
        <v>19.89</v>
      </c>
      <c r="R12" s="5">
        <v>35.130000000000003</v>
      </c>
      <c r="S12" s="29">
        <f>IF(OR(Tabulka17101363036424854[[#This Row],[LP]]="N",Tabulka17101363036424854[[#This Row],[PP]]="N"),"N",IF(OR(Tabulka17101363036424854[[#This Row],[LP]]="D",Tabulka17101363036424854[[#This Row],[PP]]="D"),"D",IF(OR(Tabulka17101363036424854[[#This Row],[LP]]="NEÚČAST",Tabulka17101363036424854[[#This Row],[PP]]="NEÚČAST"),"NEÚČAST",IF(OR(Tabulka17101363036424854[[#This Row],[LP]]="",Tabulka17101363036424854[[#This Row],[PP]]=""),"",MAX(Tabulka17101363036424854[[#This Row],[LP]:[PP]])))))</f>
        <v>35.130000000000003</v>
      </c>
      <c r="T12" s="99">
        <f>COUNTIF(Tabulka17101363036424854[[#This Row],[Tým]],"*")</f>
        <v>1</v>
      </c>
      <c r="U12" s="99">
        <f>COUNTIF(Tabulka17101363036424854[[#This Row],[Výsledný čas]],"NEÚČAST")</f>
        <v>0</v>
      </c>
      <c r="V12" s="99">
        <f>IF(Tabulka17101363036424854[[#This Row],[Výsledný čas]]="N",998,IF(Tabulka17101363036424854[[#This Row],[Výsledný čas]]="D",998,IF(Tabulka17101363036424854[[#This Row],[Výsledný čas]]="","",Tabulka17101363036424854[[#This Row],[Výsledný čas]])))</f>
        <v>35.130000000000003</v>
      </c>
      <c r="Y12" s="15"/>
      <c r="Z12" s="31">
        <f>IF(OR(Tabulka3811142632384450[Výsledný čas]="N",Tabulka3811142632384450[Výsledný čas]="D",Tabulka3811142632384450[Výsledný čas]="NEÚČAST"),Uvod!$E$4,_xlfn.RANK.EQ(Tabulka3811142632384450[[#This Row],[ ]],Tabulka3811142632384450[[ ]],1))</f>
        <v>9</v>
      </c>
      <c r="AA12" s="51" t="s">
        <v>25</v>
      </c>
      <c r="AB12" s="44">
        <f>VLOOKUP(Tabulka3811142632384450[[#This Row],[Tým]],Tabulka1710132531374349[[Tým]:[ ]],2,FALSE)</f>
        <v>17.239999999999998</v>
      </c>
      <c r="AC12" s="44">
        <f>VLOOKUP(Tabulka3811142632384450[[#This Row],[Tým]],Tabulka1710132531374349[[Tým]:[ ]],3,FALSE)</f>
        <v>16.73</v>
      </c>
      <c r="AD12" s="25">
        <f>VLOOKUP(Tabulka3811142632384450[[#This Row],[Tým]],Tabulka1710132531374349[[Tým]:[ ]],4,FALSE)</f>
        <v>17.239999999999998</v>
      </c>
      <c r="AE12" s="25">
        <f>VLOOKUP(Tabulka3811142632384450[[#This Row],[Tým]],Tabulka1710132531374349[[Tým]:[ ]],7,FALSE)</f>
        <v>17.239999999999998</v>
      </c>
      <c r="AF12" s="29">
        <f>IF(Tabulka3811142632384450[[#This Row],[Výsledný čas]]="N",5,IF(Tabulka3811142632384450[[#This Row],[Výsledný čas]]="D",0,IF(Tabulka3811142632384450[[#This Row],[Výsledný čas]]="NEÚČAST",0,Tabulka4[[#Totals],[Týmy muži]]+6-Tabulka3811142632384450[[#This Row],[Umístění]])))</f>
        <v>16</v>
      </c>
      <c r="AH12" s="31">
        <f>_xlfn.RANK.EQ(Tabulka5912152733394551[[#This Row],[Body]],Tabulka5912152733394551[Body],0)</f>
        <v>9</v>
      </c>
      <c r="AI12" s="51" t="s">
        <v>11</v>
      </c>
      <c r="AJ12" s="29">
        <f>VLOOKUP(Tabulka5912152733394551[[#This Row],[Tým]],Tabulka3811142632384450[[Tým]:[Body]],6,FALSE)+Tabulka5912152733394551[[#This Row],[ ]]</f>
        <v>98</v>
      </c>
      <c r="AK12" s="75">
        <f>VLOOKUP(Tabulka5912152733394551[[#This Row],[Tým]],Tabulka59121527333945[[Tým]:[Body]],2,FALSE)</f>
        <v>87</v>
      </c>
      <c r="AL12" s="82">
        <f>Tabulka5912152733394551[[#This Row],[Umístění]]</f>
        <v>9</v>
      </c>
      <c r="AM12" s="15"/>
      <c r="AP12" s="1"/>
    </row>
    <row r="13" spans="1:42" ht="24.95" customHeight="1" x14ac:dyDescent="0.4">
      <c r="B13" s="30" t="s">
        <v>50</v>
      </c>
      <c r="C13" s="25">
        <f>IF(Tabulka1710132531374349[[#This Row],[ ]]="","",IF(Tabulka1710132531374349[[#This Row],[ ]]="NEÚČAST","",IF(OR(Tabulka1710132531374349[Výsledný čas]="N",Tabulka1710132531374349[Výsledný čas]="D"),$L$4-$L$5,_xlfn.RANK.EQ(Tabulka1710132531374349[[#This Row],[ ]],Tabulka1710132531374349[[ ]],1))))</f>
        <v>10</v>
      </c>
      <c r="D13" s="26" t="s">
        <v>20</v>
      </c>
      <c r="E13" s="5">
        <v>16.78</v>
      </c>
      <c r="F13" s="5">
        <v>17.52</v>
      </c>
      <c r="G13" s="29">
        <f>IF(OR(Tabulka1710132531374349[[#This Row],[LP]]="N",Tabulka1710132531374349[[#This Row],[PP]]="N"),"N",IF(OR(Tabulka1710132531374349[[#This Row],[LP]]="D",Tabulka1710132531374349[[#This Row],[PP]]="D"),"D",IF(OR(Tabulka1710132531374349[[#This Row],[LP]]="NEÚČAST",Tabulka1710132531374349[[#This Row],[PP]]="NEÚČAST"),"NEÚČAST",IF(OR(Tabulka1710132531374349[[#This Row],[LP]]="",Tabulka1710132531374349[[#This Row],[PP]]=""),"",MAX(Tabulka1710132531374349[[#This Row],[LP]:[PP]])))))</f>
        <v>17.52</v>
      </c>
      <c r="H13" s="333">
        <f>COUNTIF(Tabulka1710132531374349[[#This Row],[Tým]],"*")</f>
        <v>1</v>
      </c>
      <c r="I13" s="333">
        <f>COUNTIF(Tabulka1710132531374349[[#This Row],[Výsledný čas]],"NEÚČAST")</f>
        <v>0</v>
      </c>
      <c r="J13" s="9">
        <f>IF(Tabulka1710132531374349[[#This Row],[Výsledný čas]]="N",998,IF(Tabulka1710132531374349[[#This Row],[Výsledný čas]]="D",998,IF(Tabulka1710132531374349[[#This Row],[Výsledný čas]]="","",Tabulka1710132531374349[[#This Row],[Výsledný čas]])))</f>
        <v>17.52</v>
      </c>
      <c r="N13" s="31" t="s">
        <v>52</v>
      </c>
      <c r="O13" s="334">
        <f>IF(Tabulka17101363036424854[[#This Row],[ ]]="","",IF(Tabulka17101363036424854[[#This Row],[ ]]="NEÚČAST","",IF(OR(Tabulka17101363036424854[Výsledný čas]="N",Tabulka17101363036424854[Výsledný čas]="D"),$X$4-$X$5,_xlfn.RANK.EQ(Tabulka17101363036424854[[#This Row],[ ]],Tabulka17101363036424854[[ ]],1))))</f>
        <v>10</v>
      </c>
      <c r="P13" s="26" t="s">
        <v>19</v>
      </c>
      <c r="Q13" s="5">
        <v>35.96</v>
      </c>
      <c r="R13" s="5">
        <v>21.5</v>
      </c>
      <c r="S13" s="336">
        <f>IF(OR(Tabulka17101363036424854[[#This Row],[LP]]="N",Tabulka17101363036424854[[#This Row],[PP]]="N"),"N",IF(OR(Tabulka17101363036424854[[#This Row],[LP]]="D",Tabulka17101363036424854[[#This Row],[PP]]="D"),"D",IF(OR(Tabulka17101363036424854[[#This Row],[LP]]="NEÚČAST",Tabulka17101363036424854[[#This Row],[PP]]="NEÚČAST"),"NEÚČAST",IF(OR(Tabulka17101363036424854[[#This Row],[LP]]="",Tabulka17101363036424854[[#This Row],[PP]]=""),"",MAX(Tabulka17101363036424854[[#This Row],[LP]:[PP]])))))</f>
        <v>35.96</v>
      </c>
      <c r="T13" s="350">
        <f>COUNTIF(Tabulka17101363036424854[[#This Row],[Tým]],"*")</f>
        <v>1</v>
      </c>
      <c r="U13" s="350">
        <f>COUNTIF(Tabulka17101363036424854[[#This Row],[Výsledný čas]],"NEÚČAST")</f>
        <v>0</v>
      </c>
      <c r="V13" s="335">
        <f>IF(Tabulka17101363036424854[[#This Row],[Výsledný čas]]="N",998,IF(Tabulka17101363036424854[[#This Row],[Výsledný čas]]="D",998,IF(Tabulka17101363036424854[[#This Row],[Výsledný čas]]="","",Tabulka17101363036424854[[#This Row],[Výsledný čas]])))</f>
        <v>35.96</v>
      </c>
      <c r="Z13" s="31">
        <f>IF(OR(Tabulka3811142632384450[Výsledný čas]="N",Tabulka3811142632384450[Výsledný čas]="D",Tabulka3811142632384450[Výsledný čas]="NEÚČAST"),Uvod!$E$4,_xlfn.RANK.EQ(Tabulka3811142632384450[[#This Row],[ ]],Tabulka3811142632384450[[ ]],1))</f>
        <v>10</v>
      </c>
      <c r="AA13" s="51" t="s">
        <v>20</v>
      </c>
      <c r="AB13" s="44">
        <f>VLOOKUP(Tabulka3811142632384450[[#This Row],[Tým]],Tabulka1710132531374349[[Tým]:[ ]],2,FALSE)</f>
        <v>16.78</v>
      </c>
      <c r="AC13" s="44">
        <f>VLOOKUP(Tabulka3811142632384450[[#This Row],[Tým]],Tabulka1710132531374349[[Tým]:[ ]],3,FALSE)</f>
        <v>17.52</v>
      </c>
      <c r="AD13" s="25">
        <f>VLOOKUP(Tabulka3811142632384450[[#This Row],[Tým]],Tabulka1710132531374349[[Tým]:[ ]],4,FALSE)</f>
        <v>17.52</v>
      </c>
      <c r="AE13" s="25">
        <f>VLOOKUP(Tabulka3811142632384450[[#This Row],[Tým]],Tabulka1710132531374349[[Tým]:[ ]],7,FALSE)</f>
        <v>17.52</v>
      </c>
      <c r="AF13" s="29">
        <f>IF(Tabulka3811142632384450[[#This Row],[Výsledný čas]]="N",5,IF(Tabulka3811142632384450[[#This Row],[Výsledný čas]]="D",0,IF(Tabulka3811142632384450[[#This Row],[Výsledný čas]]="NEÚČAST",0,Tabulka4[[#Totals],[Týmy muži]]+6-Tabulka3811142632384450[[#This Row],[Umístění]])))</f>
        <v>15</v>
      </c>
      <c r="AH13" s="31">
        <f>_xlfn.RANK.EQ(Tabulka5912152733394551[[#This Row],[Body]],Tabulka5912152733394551[Body],0)</f>
        <v>9</v>
      </c>
      <c r="AI13" s="51" t="s">
        <v>15</v>
      </c>
      <c r="AJ13" s="29">
        <f>VLOOKUP(Tabulka5912152733394551[[#This Row],[Tým]],Tabulka3811142632384450[[Tým]:[Body]],6,FALSE)+Tabulka5912152733394551[[#This Row],[ ]]</f>
        <v>98</v>
      </c>
      <c r="AK13" s="75">
        <f>VLOOKUP(Tabulka5912152733394551[[#This Row],[Tým]],Tabulka59121527333945[[Tým]:[Body]],2,FALSE)</f>
        <v>86</v>
      </c>
      <c r="AL13" s="82">
        <f>Tabulka5912152733394551[[#This Row],[Umístění]]</f>
        <v>9</v>
      </c>
      <c r="AM13" s="15"/>
      <c r="AP13" s="1"/>
    </row>
    <row r="14" spans="1:42" ht="24.95" customHeight="1" x14ac:dyDescent="0.4">
      <c r="B14" s="30" t="s">
        <v>67</v>
      </c>
      <c r="C14" s="25">
        <f>IF(Tabulka1710132531374349[[#This Row],[ ]]="","",IF(Tabulka1710132531374349[[#This Row],[ ]]="NEÚČAST","",IF(OR(Tabulka1710132531374349[Výsledný čas]="N",Tabulka1710132531374349[Výsledný čas]="D"),$L$4-$L$5,_xlfn.RANK.EQ(Tabulka1710132531374349[[#This Row],[ ]],Tabulka1710132531374349[[ ]],1))))</f>
        <v>11</v>
      </c>
      <c r="D14" s="26" t="s">
        <v>33</v>
      </c>
      <c r="E14" s="5">
        <v>17.57</v>
      </c>
      <c r="F14" s="5">
        <v>17.190000000000001</v>
      </c>
      <c r="G14" s="29">
        <f>IF(OR(Tabulka1710132531374349[[#This Row],[LP]]="N",Tabulka1710132531374349[[#This Row],[PP]]="N"),"N",IF(OR(Tabulka1710132531374349[[#This Row],[LP]]="D",Tabulka1710132531374349[[#This Row],[PP]]="D"),"D",IF(OR(Tabulka1710132531374349[[#This Row],[LP]]="NEÚČAST",Tabulka1710132531374349[[#This Row],[PP]]="NEÚČAST"),"NEÚČAST",IF(OR(Tabulka1710132531374349[[#This Row],[LP]]="",Tabulka1710132531374349[[#This Row],[PP]]=""),"",MAX(Tabulka1710132531374349[[#This Row],[LP]:[PP]])))))</f>
        <v>17.57</v>
      </c>
      <c r="H14" s="333">
        <f>COUNTIF(Tabulka1710132531374349[[#This Row],[Tým]],"*")</f>
        <v>1</v>
      </c>
      <c r="I14" s="333">
        <f>COUNTIF(Tabulka1710132531374349[[#This Row],[Výsledný čas]],"NEÚČAST")</f>
        <v>0</v>
      </c>
      <c r="J14" s="9">
        <f>IF(Tabulka1710132531374349[[#This Row],[Výsledný čas]]="N",998,IF(Tabulka1710132531374349[[#This Row],[Výsledný čas]]="D",998,IF(Tabulka1710132531374349[[#This Row],[Výsledný čas]]="","",Tabulka1710132531374349[[#This Row],[Výsledný čas]])))</f>
        <v>17.57</v>
      </c>
      <c r="N14" s="31" t="s">
        <v>104</v>
      </c>
      <c r="O14" s="334">
        <f>IF(Tabulka17101363036424854[[#This Row],[ ]]="","",IF(Tabulka17101363036424854[[#This Row],[ ]]="NEÚČAST","",IF(OR(Tabulka17101363036424854[Výsledný čas]="N",Tabulka17101363036424854[Výsledný čas]="D"),$X$4-$X$5,_xlfn.RANK.EQ(Tabulka17101363036424854[[#This Row],[ ]],Tabulka17101363036424854[[ ]],1))))</f>
        <v>11</v>
      </c>
      <c r="P14" s="26" t="s">
        <v>118</v>
      </c>
      <c r="Q14" s="5">
        <v>21.42</v>
      </c>
      <c r="R14" s="5">
        <v>36.49</v>
      </c>
      <c r="S14" s="336">
        <f>IF(OR(Tabulka17101363036424854[[#This Row],[LP]]="N",Tabulka17101363036424854[[#This Row],[PP]]="N"),"N",IF(OR(Tabulka17101363036424854[[#This Row],[LP]]="D",Tabulka17101363036424854[[#This Row],[PP]]="D"),"D",IF(OR(Tabulka17101363036424854[[#This Row],[LP]]="NEÚČAST",Tabulka17101363036424854[[#This Row],[PP]]="NEÚČAST"),"NEÚČAST",IF(OR(Tabulka17101363036424854[[#This Row],[LP]]="",Tabulka17101363036424854[[#This Row],[PP]]=""),"",MAX(Tabulka17101363036424854[[#This Row],[LP]:[PP]])))))</f>
        <v>36.49</v>
      </c>
      <c r="T14" s="350">
        <f>COUNTIF(Tabulka17101363036424854[[#This Row],[Tým]],"*")</f>
        <v>1</v>
      </c>
      <c r="U14" s="350">
        <f>COUNTIF(Tabulka17101363036424854[[#This Row],[Výsledný čas]],"NEÚČAST")</f>
        <v>0</v>
      </c>
      <c r="V14" s="335">
        <f>IF(Tabulka17101363036424854[[#This Row],[Výsledný čas]]="N",998,IF(Tabulka17101363036424854[[#This Row],[Výsledný čas]]="D",998,IF(Tabulka17101363036424854[[#This Row],[Výsledný čas]]="","",Tabulka17101363036424854[[#This Row],[Výsledný čas]])))</f>
        <v>36.49</v>
      </c>
      <c r="Z14" s="31">
        <f>IF(OR(Tabulka3811142632384450[Výsledný čas]="N",Tabulka3811142632384450[Výsledný čas]="D",Tabulka3811142632384450[Výsledný čas]="NEÚČAST"),Uvod!$E$4,_xlfn.RANK.EQ(Tabulka3811142632384450[[#This Row],[ ]],Tabulka3811142632384450[[ ]],1))</f>
        <v>11</v>
      </c>
      <c r="AA14" s="97" t="s">
        <v>33</v>
      </c>
      <c r="AB14" s="44">
        <f>VLOOKUP(Tabulka3811142632384450[[#This Row],[Tým]],Tabulka1710132531374349[[Tým]:[ ]],2,FALSE)</f>
        <v>17.57</v>
      </c>
      <c r="AC14" s="44">
        <f>VLOOKUP(Tabulka3811142632384450[[#This Row],[Tým]],Tabulka1710132531374349[[Tým]:[ ]],3,FALSE)</f>
        <v>17.190000000000001</v>
      </c>
      <c r="AD14" s="25">
        <f>VLOOKUP(Tabulka3811142632384450[[#This Row],[Tým]],Tabulka1710132531374349[[Tým]:[ ]],4,FALSE)</f>
        <v>17.57</v>
      </c>
      <c r="AE14" s="25">
        <f>VLOOKUP(Tabulka3811142632384450[[#This Row],[Tým]],Tabulka1710132531374349[[Tým]:[ ]],7,FALSE)</f>
        <v>17.57</v>
      </c>
      <c r="AF14" s="29">
        <f>IF(Tabulka3811142632384450[[#This Row],[Výsledný čas]]="N",5,IF(Tabulka3811142632384450[[#This Row],[Výsledný čas]]="D",0,IF(Tabulka3811142632384450[[#This Row],[Výsledný čas]]="NEÚČAST",0,Tabulka4[[#Totals],[Týmy muži]]+6-Tabulka3811142632384450[[#This Row],[Umístění]])))</f>
        <v>14</v>
      </c>
      <c r="AH14" s="31">
        <f>_xlfn.RANK.EQ(Tabulka5912152733394551[[#This Row],[Body]],Tabulka5912152733394551[Body],0)</f>
        <v>11</v>
      </c>
      <c r="AI14" s="51" t="s">
        <v>25</v>
      </c>
      <c r="AJ14" s="29">
        <f>VLOOKUP(Tabulka5912152733394551[[#This Row],[Tým]],Tabulka3811142632384450[[Tým]:[Body]],6,FALSE)+Tabulka5912152733394551[[#This Row],[ ]]</f>
        <v>93</v>
      </c>
      <c r="AK14" s="75">
        <f>VLOOKUP(Tabulka5912152733394551[[#This Row],[Tým]],Tabulka59121527333945[[Tým]:[Body]],2,FALSE)</f>
        <v>77</v>
      </c>
      <c r="AL14" s="82">
        <f>Tabulka5912152733394551[[#This Row],[Umístění]]</f>
        <v>11</v>
      </c>
      <c r="AM14" s="15"/>
      <c r="AP14" s="1"/>
    </row>
    <row r="15" spans="1:42" ht="24.95" customHeight="1" thickBot="1" x14ac:dyDescent="0.45">
      <c r="B15" s="30" t="s">
        <v>70</v>
      </c>
      <c r="C15" s="25">
        <f>IF(Tabulka1710132531374349[[#This Row],[ ]]="","",IF(Tabulka1710132531374349[[#This Row],[ ]]="NEÚČAST","",IF(OR(Tabulka1710132531374349[Výsledný čas]="N",Tabulka1710132531374349[Výsledný čas]="D"),$L$4-$L$5,_xlfn.RANK.EQ(Tabulka1710132531374349[[#This Row],[ ]],Tabulka1710132531374349[[ ]],1))))</f>
        <v>12</v>
      </c>
      <c r="D15" s="26" t="s">
        <v>127</v>
      </c>
      <c r="E15" s="5">
        <v>18.3</v>
      </c>
      <c r="F15" s="5">
        <v>18.010000000000002</v>
      </c>
      <c r="G15" s="29">
        <f>IF(OR(Tabulka1710132531374349[[#This Row],[LP]]="N",Tabulka1710132531374349[[#This Row],[PP]]="N"),"N",IF(OR(Tabulka1710132531374349[[#This Row],[LP]]="D",Tabulka1710132531374349[[#This Row],[PP]]="D"),"D",IF(OR(Tabulka1710132531374349[[#This Row],[LP]]="NEÚČAST",Tabulka1710132531374349[[#This Row],[PP]]="NEÚČAST"),"NEÚČAST",IF(OR(Tabulka1710132531374349[[#This Row],[LP]]="",Tabulka1710132531374349[[#This Row],[PP]]=""),"",MAX(Tabulka1710132531374349[[#This Row],[LP]:[PP]])))))</f>
        <v>18.3</v>
      </c>
      <c r="H15" s="333">
        <f>COUNTIF(Tabulka1710132531374349[[#This Row],[Tým]],"*")</f>
        <v>1</v>
      </c>
      <c r="I15" s="333">
        <f>COUNTIF(Tabulka1710132531374349[[#This Row],[Výsledný čas]],"NEÚČAST")</f>
        <v>0</v>
      </c>
      <c r="J15" s="9">
        <f>IF(Tabulka1710132531374349[[#This Row],[Výsledný čas]]="N",998,IF(Tabulka1710132531374349[[#This Row],[Výsledný čas]]="D",998,IF(Tabulka1710132531374349[[#This Row],[Výsledný čas]]="","",Tabulka1710132531374349[[#This Row],[Výsledný čas]])))</f>
        <v>18.3</v>
      </c>
      <c r="N15" s="33" t="s">
        <v>49</v>
      </c>
      <c r="O15" s="337">
        <f>IF(Tabulka17101363036424854[[#This Row],[ ]]="","",IF(Tabulka17101363036424854[[#This Row],[ ]]="NEÚČAST","",IF(OR(Tabulka17101363036424854[Výsledný čas]="N",Tabulka17101363036424854[Výsledný čas]="D"),$X$4-$X$5,_xlfn.RANK.EQ(Tabulka17101363036424854[[#This Row],[ ]],Tabulka17101363036424854[[ ]],1))))</f>
        <v>12</v>
      </c>
      <c r="P15" s="101" t="s">
        <v>24</v>
      </c>
      <c r="Q15" s="91">
        <v>65.5</v>
      </c>
      <c r="R15" s="91">
        <v>65.5</v>
      </c>
      <c r="S15" s="339">
        <f>IF(OR(Tabulka17101363036424854[[#This Row],[LP]]="N",Tabulka17101363036424854[[#This Row],[PP]]="N"),"N",IF(OR(Tabulka17101363036424854[[#This Row],[LP]]="D",Tabulka17101363036424854[[#This Row],[PP]]="D"),"D",IF(OR(Tabulka17101363036424854[[#This Row],[LP]]="NEÚČAST",Tabulka17101363036424854[[#This Row],[PP]]="NEÚČAST"),"NEÚČAST",IF(OR(Tabulka17101363036424854[[#This Row],[LP]]="",Tabulka17101363036424854[[#This Row],[PP]]=""),"",MAX(Tabulka17101363036424854[[#This Row],[LP]:[PP]])))))</f>
        <v>65.5</v>
      </c>
      <c r="T15" s="350">
        <f>COUNTIF(Tabulka17101363036424854[[#This Row],[Tým]],"*")</f>
        <v>1</v>
      </c>
      <c r="U15" s="350">
        <f>COUNTIF(Tabulka17101363036424854[[#This Row],[Výsledný čas]],"NEÚČAST")</f>
        <v>0</v>
      </c>
      <c r="V15" s="335">
        <f>IF(Tabulka17101363036424854[[#This Row],[Výsledný čas]]="N",998,IF(Tabulka17101363036424854[[#This Row],[Výsledný čas]]="D",998,IF(Tabulka17101363036424854[[#This Row],[Výsledný čas]]="","",Tabulka17101363036424854[[#This Row],[Výsledný čas]])))</f>
        <v>65.5</v>
      </c>
      <c r="Z15" s="31">
        <f>IF(OR(Tabulka3811142632384450[Výsledný čas]="N",Tabulka3811142632384450[Výsledný čas]="D",Tabulka3811142632384450[Výsledný čas]="NEÚČAST"),Uvod!$E$4,_xlfn.RANK.EQ(Tabulka3811142632384450[[#This Row],[ ]],Tabulka3811142632384450[[ ]],1))</f>
        <v>12</v>
      </c>
      <c r="AA15" s="97" t="s">
        <v>17</v>
      </c>
      <c r="AB15" s="44">
        <f>VLOOKUP(Tabulka3811142632384450[[#This Row],[Tým]],Tabulka1710132531374349[[Tým]:[ ]],2,FALSE)</f>
        <v>19.27</v>
      </c>
      <c r="AC15" s="44">
        <f>VLOOKUP(Tabulka3811142632384450[[#This Row],[Tým]],Tabulka1710132531374349[[Tým]:[ ]],3,FALSE)</f>
        <v>18.690000000000001</v>
      </c>
      <c r="AD15" s="25">
        <f>VLOOKUP(Tabulka3811142632384450[[#This Row],[Tým]],Tabulka1710132531374349[[Tým]:[ ]],4,FALSE)</f>
        <v>19.27</v>
      </c>
      <c r="AE15" s="25">
        <f>VLOOKUP(Tabulka3811142632384450[[#This Row],[Tým]],Tabulka1710132531374349[[Tým]:[ ]],7,FALSE)</f>
        <v>19.27</v>
      </c>
      <c r="AF15" s="29">
        <f>IF(Tabulka3811142632384450[[#This Row],[Výsledný čas]]="N",5,IF(Tabulka3811142632384450[[#This Row],[Výsledný čas]]="D",0,IF(Tabulka3811142632384450[[#This Row],[Výsledný čas]]="NEÚČAST",0,Tabulka4[[#Totals],[Týmy muži]]+6-Tabulka3811142632384450[[#This Row],[Umístění]])))</f>
        <v>13</v>
      </c>
      <c r="AH15" s="31">
        <f>_xlfn.RANK.EQ(Tabulka5912152733394551[[#This Row],[Body]],Tabulka5912152733394551[Body],0)</f>
        <v>12</v>
      </c>
      <c r="AI15" s="51" t="s">
        <v>24</v>
      </c>
      <c r="AJ15" s="29">
        <f>VLOOKUP(Tabulka5912152733394551[[#This Row],[Tým]],Tabulka3811142632384450[[Tým]:[Body]],6,FALSE)+Tabulka5912152733394551[[#This Row],[ ]]</f>
        <v>92</v>
      </c>
      <c r="AK15" s="75">
        <f>VLOOKUP(Tabulka5912152733394551[[#This Row],[Tým]],Tabulka59121527333945[[Tým]:[Body]],2,FALSE)</f>
        <v>70</v>
      </c>
      <c r="AL15" s="82">
        <f>Tabulka5912152733394551[[#This Row],[Umístění]]</f>
        <v>12</v>
      </c>
      <c r="AM15" s="15"/>
      <c r="AP15" s="1"/>
    </row>
    <row r="16" spans="1:42" ht="24.95" customHeight="1" x14ac:dyDescent="0.4">
      <c r="B16" s="32" t="s">
        <v>58</v>
      </c>
      <c r="C16" s="25">
        <f>IF(Tabulka1710132531374349[[#This Row],[ ]]="","",IF(Tabulka1710132531374349[[#This Row],[ ]]="NEÚČAST","",IF(OR(Tabulka1710132531374349[Výsledný čas]="N",Tabulka1710132531374349[Výsledný čas]="D"),$L$4-$L$5,_xlfn.RANK.EQ(Tabulka1710132531374349[[#This Row],[ ]],Tabulka1710132531374349[[ ]],1))))</f>
        <v>13</v>
      </c>
      <c r="D16" s="26" t="s">
        <v>95</v>
      </c>
      <c r="E16" s="5">
        <v>18.93</v>
      </c>
      <c r="F16" s="5">
        <v>16.73</v>
      </c>
      <c r="G16" s="29">
        <f>IF(OR(Tabulka1710132531374349[[#This Row],[LP]]="N",Tabulka1710132531374349[[#This Row],[PP]]="N"),"N",IF(OR(Tabulka1710132531374349[[#This Row],[LP]]="D",Tabulka1710132531374349[[#This Row],[PP]]="D"),"D",IF(OR(Tabulka1710132531374349[[#This Row],[LP]]="NEÚČAST",Tabulka1710132531374349[[#This Row],[PP]]="NEÚČAST"),"NEÚČAST",IF(OR(Tabulka1710132531374349[[#This Row],[LP]]="",Tabulka1710132531374349[[#This Row],[PP]]=""),"",MAX(Tabulka1710132531374349[[#This Row],[LP]:[PP]])))))</f>
        <v>18.93</v>
      </c>
      <c r="H16" s="333">
        <f>COUNTIF(Tabulka1710132531374349[[#This Row],[Tým]],"*")</f>
        <v>1</v>
      </c>
      <c r="I16" s="333">
        <f>COUNTIF(Tabulka1710132531374349[[#This Row],[Výsledný čas]],"NEÚČAST")</f>
        <v>0</v>
      </c>
      <c r="J16" s="9">
        <f>IF(Tabulka1710132531374349[[#This Row],[Výsledný čas]]="N",998,IF(Tabulka1710132531374349[[#This Row],[Výsledný čas]]="D",998,IF(Tabulka1710132531374349[[#This Row],[Výsledný čas]]="","",Tabulka1710132531374349[[#This Row],[Výsledný čas]])))</f>
        <v>18.93</v>
      </c>
      <c r="P16" s="7"/>
      <c r="Q16" s="8"/>
      <c r="R16" s="8"/>
      <c r="Z16" s="31">
        <f>IF(OR(Tabulka3811142632384450[Výsledný čas]="N",Tabulka3811142632384450[Výsledný čas]="D",Tabulka3811142632384450[Výsledný čas]="NEÚČAST"),Uvod!$E$4,_xlfn.RANK.EQ(Tabulka3811142632384450[[#This Row],[ ]],Tabulka3811142632384450[[ ]],1))</f>
        <v>13</v>
      </c>
      <c r="AA16" s="51" t="s">
        <v>15</v>
      </c>
      <c r="AB16" s="44">
        <f>VLOOKUP(Tabulka3811142632384450[[#This Row],[Tým]],Tabulka1710132531374349[[Tým]:[ ]],2,FALSE)</f>
        <v>19.399999999999999</v>
      </c>
      <c r="AC16" s="44">
        <f>VLOOKUP(Tabulka3811142632384450[[#This Row],[Tým]],Tabulka1710132531374349[[Tým]:[ ]],3,FALSE)</f>
        <v>16.170000000000002</v>
      </c>
      <c r="AD16" s="25">
        <f>VLOOKUP(Tabulka3811142632384450[[#This Row],[Tým]],Tabulka1710132531374349[[Tým]:[ ]],4,FALSE)</f>
        <v>19.399999999999999</v>
      </c>
      <c r="AE16" s="25">
        <f>VLOOKUP(Tabulka3811142632384450[[#This Row],[Tým]],Tabulka1710132531374349[[Tým]:[ ]],7,FALSE)</f>
        <v>19.399999999999999</v>
      </c>
      <c r="AF16" s="29">
        <f>IF(Tabulka3811142632384450[[#This Row],[Výsledný čas]]="N",5,IF(Tabulka3811142632384450[[#This Row],[Výsledný čas]]="D",0,IF(Tabulka3811142632384450[[#This Row],[Výsledný čas]]="NEÚČAST",0,Tabulka4[[#Totals],[Týmy muži]]+6-Tabulka3811142632384450[[#This Row],[Umístění]])))</f>
        <v>12</v>
      </c>
      <c r="AH16" s="31">
        <f>_xlfn.RANK.EQ(Tabulka5912152733394551[[#This Row],[Body]],Tabulka5912152733394551[Body],0)</f>
        <v>13</v>
      </c>
      <c r="AI16" s="51" t="s">
        <v>14</v>
      </c>
      <c r="AJ16" s="29">
        <f>VLOOKUP(Tabulka5912152733394551[[#This Row],[Tým]],Tabulka3811142632384450[[Tým]:[Body]],6,FALSE)+Tabulka5912152733394551[[#This Row],[ ]]</f>
        <v>89</v>
      </c>
      <c r="AK16" s="75">
        <f>VLOOKUP(Tabulka5912152733394551[[#This Row],[Tým]],Tabulka59121527333945[[Tým]:[Body]],2,FALSE)</f>
        <v>80</v>
      </c>
      <c r="AL16" s="82">
        <f>Tabulka5912152733394551[[#This Row],[Umístění]]</f>
        <v>13</v>
      </c>
      <c r="AM16" s="15"/>
      <c r="AP16" s="1"/>
    </row>
    <row r="17" spans="2:42" ht="24.95" customHeight="1" x14ac:dyDescent="0.4">
      <c r="B17" s="30" t="s">
        <v>157</v>
      </c>
      <c r="C17" s="25">
        <f>IF(Tabulka1710132531374349[[#This Row],[ ]]="","",IF(Tabulka1710132531374349[[#This Row],[ ]]="NEÚČAST","",IF(OR(Tabulka1710132531374349[Výsledný čas]="N",Tabulka1710132531374349[Výsledný čas]="D"),$L$4-$L$5,_xlfn.RANK.EQ(Tabulka1710132531374349[[#This Row],[ ]],Tabulka1710132531374349[[ ]],1))))</f>
        <v>14</v>
      </c>
      <c r="D17" s="355" t="s">
        <v>17</v>
      </c>
      <c r="E17" s="5">
        <v>19.27</v>
      </c>
      <c r="F17" s="5">
        <v>18.690000000000001</v>
      </c>
      <c r="G17" s="29">
        <f>IF(OR(Tabulka1710132531374349[[#This Row],[LP]]="N",Tabulka1710132531374349[[#This Row],[PP]]="N"),"N",IF(OR(Tabulka1710132531374349[[#This Row],[LP]]="D",Tabulka1710132531374349[[#This Row],[PP]]="D"),"D",IF(OR(Tabulka1710132531374349[[#This Row],[LP]]="NEÚČAST",Tabulka1710132531374349[[#This Row],[PP]]="NEÚČAST"),"NEÚČAST",IF(OR(Tabulka1710132531374349[[#This Row],[LP]]="",Tabulka1710132531374349[[#This Row],[PP]]=""),"",MAX(Tabulka1710132531374349[[#This Row],[LP]:[PP]])))))</f>
        <v>19.27</v>
      </c>
      <c r="H17" s="333">
        <f>COUNTIF(Tabulka1710132531374349[[#This Row],[Tým]],"*")</f>
        <v>1</v>
      </c>
      <c r="I17" s="333">
        <f>COUNTIF(Tabulka1710132531374349[[#This Row],[Výsledný čas]],"NEÚČAST")</f>
        <v>0</v>
      </c>
      <c r="J17" s="9">
        <f>IF(Tabulka1710132531374349[[#This Row],[Výsledný čas]]="N",998,IF(Tabulka1710132531374349[[#This Row],[Výsledný čas]]="D",998,IF(Tabulka1710132531374349[[#This Row],[Výsledný čas]]="","",Tabulka1710132531374349[[#This Row],[Výsledný čas]])))</f>
        <v>19.27</v>
      </c>
      <c r="N17" s="68"/>
      <c r="P17" s="7"/>
      <c r="Q17" s="8"/>
      <c r="R17" s="8"/>
      <c r="Z17" s="31">
        <f>IF(OR(Tabulka3811142632384450[Výsledný čas]="N",Tabulka3811142632384450[Výsledný čas]="D",Tabulka3811142632384450[Výsledný čas]="NEÚČAST"),Uvod!$E$4,_xlfn.RANK.EQ(Tabulka3811142632384450[[#This Row],[ ]],Tabulka3811142632384450[[ ]],1))</f>
        <v>14</v>
      </c>
      <c r="AA17" s="51" t="s">
        <v>11</v>
      </c>
      <c r="AB17" s="44">
        <f>VLOOKUP(Tabulka3811142632384450[[#This Row],[Tým]],Tabulka1710132531374349[[Tým]:[ ]],2,FALSE)</f>
        <v>20.55</v>
      </c>
      <c r="AC17" s="44">
        <f>VLOOKUP(Tabulka3811142632384450[[#This Row],[Tým]],Tabulka1710132531374349[[Tým]:[ ]],3,FALSE)</f>
        <v>21.51</v>
      </c>
      <c r="AD17" s="25">
        <f>VLOOKUP(Tabulka3811142632384450[[#This Row],[Tým]],Tabulka1710132531374349[[Tým]:[ ]],4,FALSE)</f>
        <v>21.51</v>
      </c>
      <c r="AE17" s="25">
        <f>VLOOKUP(Tabulka3811142632384450[[#This Row],[Tým]],Tabulka1710132531374349[[Tým]:[ ]],7,FALSE)</f>
        <v>21.51</v>
      </c>
      <c r="AF17" s="29">
        <f>IF(Tabulka3811142632384450[[#This Row],[Výsledný čas]]="N",5,IF(Tabulka3811142632384450[[#This Row],[Výsledný čas]]="D",0,IF(Tabulka3811142632384450[[#This Row],[Výsledný čas]]="NEÚČAST",0,Tabulka4[[#Totals],[Týmy muži]]+6-Tabulka3811142632384450[[#This Row],[Umístění]])))</f>
        <v>11</v>
      </c>
      <c r="AH17" s="31">
        <f>_xlfn.RANK.EQ(Tabulka5912152733394551[[#This Row],[Body]],Tabulka5912152733394551[Body],0)</f>
        <v>13</v>
      </c>
      <c r="AI17" s="97" t="s">
        <v>13</v>
      </c>
      <c r="AJ17" s="29">
        <f>VLOOKUP(Tabulka5912152733394551[[#This Row],[Tým]],Tabulka3811142632384450[[Tým]:[Body]],6,FALSE)+Tabulka5912152733394551[[#This Row],[ ]]</f>
        <v>89</v>
      </c>
      <c r="AK17" s="75">
        <f>VLOOKUP(Tabulka5912152733394551[[#This Row],[Tým]],Tabulka59121527333945[[Tým]:[Body]],2,FALSE)</f>
        <v>89</v>
      </c>
      <c r="AL17" s="82">
        <f>Tabulka5912152733394551[[#This Row],[Umístění]]</f>
        <v>13</v>
      </c>
      <c r="AM17" s="15"/>
      <c r="AP17" s="1"/>
    </row>
    <row r="18" spans="2:42" ht="24.95" customHeight="1" x14ac:dyDescent="0.4">
      <c r="B18" s="32" t="s">
        <v>56</v>
      </c>
      <c r="C18" s="25">
        <f>IF(Tabulka1710132531374349[[#This Row],[ ]]="","",IF(Tabulka1710132531374349[[#This Row],[ ]]="NEÚČAST","",IF(OR(Tabulka1710132531374349[Výsledný čas]="N",Tabulka1710132531374349[Výsledný čas]="D"),$L$4-$L$5,_xlfn.RANK.EQ(Tabulka1710132531374349[[#This Row],[ ]],Tabulka1710132531374349[[ ]],1))))</f>
        <v>15</v>
      </c>
      <c r="D18" s="355" t="s">
        <v>15</v>
      </c>
      <c r="E18" s="5">
        <v>19.399999999999999</v>
      </c>
      <c r="F18" s="5">
        <v>16.170000000000002</v>
      </c>
      <c r="G18" s="29">
        <f>IF(OR(Tabulka1710132531374349[[#This Row],[LP]]="N",Tabulka1710132531374349[[#This Row],[PP]]="N"),"N",IF(OR(Tabulka1710132531374349[[#This Row],[LP]]="D",Tabulka1710132531374349[[#This Row],[PP]]="D"),"D",IF(OR(Tabulka1710132531374349[[#This Row],[LP]]="NEÚČAST",Tabulka1710132531374349[[#This Row],[PP]]="NEÚČAST"),"NEÚČAST",IF(OR(Tabulka1710132531374349[[#This Row],[LP]]="",Tabulka1710132531374349[[#This Row],[PP]]=""),"",MAX(Tabulka1710132531374349[[#This Row],[LP]:[PP]])))))</f>
        <v>19.399999999999999</v>
      </c>
      <c r="H18" s="333">
        <f>COUNTIF(Tabulka1710132531374349[[#This Row],[Tým]],"*")</f>
        <v>1</v>
      </c>
      <c r="I18" s="333">
        <f>COUNTIF(Tabulka1710132531374349[[#This Row],[Výsledný čas]],"NEÚČAST")</f>
        <v>0</v>
      </c>
      <c r="J18" s="9">
        <f>IF(Tabulka1710132531374349[[#This Row],[Výsledný čas]]="N",998,IF(Tabulka1710132531374349[[#This Row],[Výsledný čas]]="D",998,IF(Tabulka1710132531374349[[#This Row],[Výsledný čas]]="","",Tabulka1710132531374349[[#This Row],[Výsledný čas]])))</f>
        <v>19.399999999999999</v>
      </c>
      <c r="N18" s="68"/>
      <c r="P18" s="7"/>
      <c r="Q18" s="8"/>
      <c r="R18" s="8"/>
      <c r="Z18" s="31">
        <f>IF(OR(Tabulka3811142632384450[Výsledný čas]="N",Tabulka3811142632384450[Výsledný čas]="D",Tabulka3811142632384450[Výsledný čas]="NEÚČAST"),Uvod!$E$4,_xlfn.RANK.EQ(Tabulka3811142632384450[[#This Row],[ ]],Tabulka3811142632384450[[ ]],1))</f>
        <v>15</v>
      </c>
      <c r="AA18" s="51" t="s">
        <v>31</v>
      </c>
      <c r="AB18" s="44">
        <f>VLOOKUP(Tabulka3811142632384450[[#This Row],[Tým]],Tabulka1710132531374349[[Tým]:[ ]],2,FALSE)</f>
        <v>28.24</v>
      </c>
      <c r="AC18" s="44">
        <f>VLOOKUP(Tabulka3811142632384450[[#This Row],[Tým]],Tabulka1710132531374349[[Tým]:[ ]],3,FALSE)</f>
        <v>28.92</v>
      </c>
      <c r="AD18" s="25">
        <f>VLOOKUP(Tabulka3811142632384450[[#This Row],[Tým]],Tabulka1710132531374349[[Tým]:[ ]],4,FALSE)</f>
        <v>28.92</v>
      </c>
      <c r="AE18" s="25">
        <f>VLOOKUP(Tabulka3811142632384450[[#This Row],[Tým]],Tabulka1710132531374349[[Tým]:[ ]],7,FALSE)</f>
        <v>28.92</v>
      </c>
      <c r="AF18" s="29">
        <f>IF(Tabulka3811142632384450[[#This Row],[Výsledný čas]]="N",5,IF(Tabulka3811142632384450[[#This Row],[Výsledný čas]]="D",0,IF(Tabulka3811142632384450[[#This Row],[Výsledný čas]]="NEÚČAST",0,Tabulka4[[#Totals],[Týmy muži]]+6-Tabulka3811142632384450[[#This Row],[Umístění]])))</f>
        <v>10</v>
      </c>
      <c r="AH18" s="31">
        <f>_xlfn.RANK.EQ(Tabulka5912152733394551[[#This Row],[Body]],Tabulka5912152733394551[Body],0)</f>
        <v>15</v>
      </c>
      <c r="AI18" s="97" t="s">
        <v>33</v>
      </c>
      <c r="AJ18" s="29">
        <f>VLOOKUP(Tabulka5912152733394551[[#This Row],[Tým]],Tabulka3811142632384450[[Tým]:[Body]],6,FALSE)+Tabulka5912152733394551[[#This Row],[ ]]</f>
        <v>69</v>
      </c>
      <c r="AK18" s="75">
        <f>VLOOKUP(Tabulka5912152733394551[[#This Row],[Tým]],Tabulka59121527333945[[Tým]:[Body]],2,FALSE)</f>
        <v>55</v>
      </c>
      <c r="AL18" s="82">
        <f>Tabulka5912152733394551[[#This Row],[Umístění]]</f>
        <v>15</v>
      </c>
      <c r="AM18" s="15"/>
      <c r="AP18" s="1"/>
    </row>
    <row r="19" spans="2:42" ht="24.95" customHeight="1" x14ac:dyDescent="0.4">
      <c r="B19" s="30" t="s">
        <v>42</v>
      </c>
      <c r="C19" s="25">
        <f>IF(Tabulka1710132531374349[[#This Row],[ ]]="","",IF(Tabulka1710132531374349[[#This Row],[ ]]="NEÚČAST","",IF(OR(Tabulka1710132531374349[Výsledný čas]="N",Tabulka1710132531374349[Výsledný čas]="D"),$L$4-$L$5,_xlfn.RANK.EQ(Tabulka1710132531374349[[#This Row],[ ]],Tabulka1710132531374349[[ ]],1))))</f>
        <v>16</v>
      </c>
      <c r="D19" s="26" t="s">
        <v>11</v>
      </c>
      <c r="E19" s="5">
        <v>20.55</v>
      </c>
      <c r="F19" s="5">
        <v>21.51</v>
      </c>
      <c r="G19" s="29">
        <f>IF(OR(Tabulka1710132531374349[[#This Row],[LP]]="N",Tabulka1710132531374349[[#This Row],[PP]]="N"),"N",IF(OR(Tabulka1710132531374349[[#This Row],[LP]]="D",Tabulka1710132531374349[[#This Row],[PP]]="D"),"D",IF(OR(Tabulka1710132531374349[[#This Row],[LP]]="NEÚČAST",Tabulka1710132531374349[[#This Row],[PP]]="NEÚČAST"),"NEÚČAST",IF(OR(Tabulka1710132531374349[[#This Row],[LP]]="",Tabulka1710132531374349[[#This Row],[PP]]=""),"",MAX(Tabulka1710132531374349[[#This Row],[LP]:[PP]])))))</f>
        <v>21.51</v>
      </c>
      <c r="H19" s="333">
        <f>COUNTIF(Tabulka1710132531374349[[#This Row],[Tým]],"*")</f>
        <v>1</v>
      </c>
      <c r="I19" s="333">
        <f>COUNTIF(Tabulka1710132531374349[[#This Row],[Výsledný čas]],"NEÚČAST")</f>
        <v>0</v>
      </c>
      <c r="J19" s="9">
        <f>IF(Tabulka1710132531374349[[#This Row],[Výsledný čas]]="N",998,IF(Tabulka1710132531374349[[#This Row],[Výsledný čas]]="D",998,IF(Tabulka1710132531374349[[#This Row],[Výsledný čas]]="","",Tabulka1710132531374349[[#This Row],[Výsledný čas]])))</f>
        <v>21.51</v>
      </c>
      <c r="N19" s="70"/>
      <c r="P19" s="7"/>
      <c r="Q19" s="8"/>
      <c r="R19" s="8"/>
      <c r="Z19" s="31">
        <f>IF(OR(Tabulka3811142632384450[Výsledný čas]="N",Tabulka3811142632384450[Výsledný čas]="D",Tabulka3811142632384450[Výsledný čas]="NEÚČAST"),Uvod!$E$4,_xlfn.RANK.EQ(Tabulka3811142632384450[[#This Row],[ ]],Tabulka3811142632384450[[ ]],1))</f>
        <v>16</v>
      </c>
      <c r="AA19" s="51" t="s">
        <v>14</v>
      </c>
      <c r="AB19" s="44">
        <f>VLOOKUP(Tabulka3811142632384450[[#This Row],[Tým]],Tabulka1710132531374349[[Tým]:[ ]],2,FALSE)</f>
        <v>30.59</v>
      </c>
      <c r="AC19" s="44">
        <f>VLOOKUP(Tabulka3811142632384450[[#This Row],[Tým]],Tabulka1710132531374349[[Tým]:[ ]],3,FALSE)</f>
        <v>30.93</v>
      </c>
      <c r="AD19" s="25">
        <f>VLOOKUP(Tabulka3811142632384450[[#This Row],[Tým]],Tabulka1710132531374349[[Tým]:[ ]],4,FALSE)</f>
        <v>30.93</v>
      </c>
      <c r="AE19" s="25">
        <f>VLOOKUP(Tabulka3811142632384450[[#This Row],[Tým]],Tabulka1710132531374349[[Tým]:[ ]],7,FALSE)</f>
        <v>30.93</v>
      </c>
      <c r="AF19" s="29">
        <f>IF(Tabulka3811142632384450[[#This Row],[Výsledný čas]]="N",5,IF(Tabulka3811142632384450[[#This Row],[Výsledný čas]]="D",0,IF(Tabulka3811142632384450[[#This Row],[Výsledný čas]]="NEÚČAST",0,Tabulka4[[#Totals],[Týmy muži]]+6-Tabulka3811142632384450[[#This Row],[Umístění]])))</f>
        <v>9</v>
      </c>
      <c r="AH19" s="31">
        <f>_xlfn.RANK.EQ(Tabulka5912152733394551[[#This Row],[Body]],Tabulka5912152733394551[Body],0)</f>
        <v>16</v>
      </c>
      <c r="AI19" s="51" t="s">
        <v>6</v>
      </c>
      <c r="AJ19" s="29">
        <f>VLOOKUP(Tabulka5912152733394551[[#This Row],[Tým]],Tabulka3811142632384450[[Tým]:[Body]],6,FALSE)+Tabulka5912152733394551[[#This Row],[ ]]</f>
        <v>68</v>
      </c>
      <c r="AK19" s="75">
        <f>VLOOKUP(Tabulka5912152733394551[[#This Row],[Tým]],Tabulka59121527333945[[Tým]:[Body]],2,FALSE)</f>
        <v>68</v>
      </c>
      <c r="AL19" s="82">
        <f>Tabulka5912152733394551[[#This Row],[Umístění]]</f>
        <v>16</v>
      </c>
      <c r="AM19" s="15"/>
      <c r="AP19" s="1"/>
    </row>
    <row r="20" spans="2:42" ht="24.95" customHeight="1" thickBot="1" x14ac:dyDescent="0.45">
      <c r="B20" s="32" t="s">
        <v>63</v>
      </c>
      <c r="C20" s="25">
        <f>IF(Tabulka1710132531374349[[#This Row],[ ]]="","",IF(Tabulka1710132531374349[[#This Row],[ ]]="NEÚČAST","",IF(OR(Tabulka1710132531374349[Výsledný čas]="N",Tabulka1710132531374349[Výsledný čas]="D"),$L$4-$L$5,_xlfn.RANK.EQ(Tabulka1710132531374349[[#This Row],[ ]],Tabulka1710132531374349[[ ]],1))))</f>
        <v>17</v>
      </c>
      <c r="D20" s="26" t="s">
        <v>152</v>
      </c>
      <c r="E20" s="5">
        <v>21.54</v>
      </c>
      <c r="F20" s="5">
        <v>20.59</v>
      </c>
      <c r="G20" s="29">
        <f>IF(OR(Tabulka1710132531374349[[#This Row],[LP]]="N",Tabulka1710132531374349[[#This Row],[PP]]="N"),"N",IF(OR(Tabulka1710132531374349[[#This Row],[LP]]="D",Tabulka1710132531374349[[#This Row],[PP]]="D"),"D",IF(OR(Tabulka1710132531374349[[#This Row],[LP]]="NEÚČAST",Tabulka1710132531374349[[#This Row],[PP]]="NEÚČAST"),"NEÚČAST",IF(OR(Tabulka1710132531374349[[#This Row],[LP]]="",Tabulka1710132531374349[[#This Row],[PP]]=""),"",MAX(Tabulka1710132531374349[[#This Row],[LP]:[PP]])))))</f>
        <v>21.54</v>
      </c>
      <c r="H20" s="333">
        <f>COUNTIF(Tabulka1710132531374349[[#This Row],[Tým]],"*")</f>
        <v>1</v>
      </c>
      <c r="I20" s="333">
        <f>COUNTIF(Tabulka1710132531374349[[#This Row],[Výsledný čas]],"NEÚČAST")</f>
        <v>0</v>
      </c>
      <c r="J20" s="9">
        <f>IF(Tabulka1710132531374349[[#This Row],[Výsledný čas]]="N",998,IF(Tabulka1710132531374349[[#This Row],[Výsledný čas]]="D",998,IF(Tabulka1710132531374349[[#This Row],[Výsledný čas]]="","",Tabulka1710132531374349[[#This Row],[Výsledný čas]])))</f>
        <v>21.54</v>
      </c>
      <c r="P20" s="7"/>
      <c r="Q20" s="8"/>
      <c r="R20" s="8"/>
      <c r="Z20" s="31">
        <f>IF(OR(Tabulka3811142632384450[Výsledný čas]="N",Tabulka3811142632384450[Výsledný čas]="D",Tabulka3811142632384450[Výsledný čas]="NEÚČAST"),Uvod!$E$4,_xlfn.RANK.EQ(Tabulka3811142632384450[[#This Row],[ ]],Tabulka3811142632384450[[ ]],1))</f>
        <v>19</v>
      </c>
      <c r="AA20" s="51" t="s">
        <v>6</v>
      </c>
      <c r="AB20" s="44" t="str">
        <f>VLOOKUP(Tabulka3811142632384450[[#This Row],[Tým]],Tabulka1710132531374349[[Tým]:[ ]],2,FALSE)</f>
        <v>NEÚČAST</v>
      </c>
      <c r="AC20" s="44" t="str">
        <f>VLOOKUP(Tabulka3811142632384450[[#This Row],[Tým]],Tabulka1710132531374349[[Tým]:[ ]],3,FALSE)</f>
        <v>NEÚČAST</v>
      </c>
      <c r="AD20" s="25" t="str">
        <f>VLOOKUP(Tabulka3811142632384450[[#This Row],[Tým]],Tabulka1710132531374349[[Tým]:[ ]],4,FALSE)</f>
        <v>NEÚČAST</v>
      </c>
      <c r="AE20" s="25" t="str">
        <f>VLOOKUP(Tabulka3811142632384450[[#This Row],[Tým]],Tabulka1710132531374349[[Tým]:[ ]],7,FALSE)</f>
        <v>NEÚČAST</v>
      </c>
      <c r="AF20" s="29">
        <f>IF(Tabulka3811142632384450[[#This Row],[Výsledný čas]]="N",5,IF(Tabulka3811142632384450[[#This Row],[Výsledný čas]]="D",0,IF(Tabulka3811142632384450[[#This Row],[Výsledný čas]]="NEÚČAST",0,Tabulka4[[#Totals],[Týmy muži]]+6-Tabulka3811142632384450[[#This Row],[Umístění]])))</f>
        <v>0</v>
      </c>
      <c r="AH20" s="31">
        <f>_xlfn.RANK.EQ(Tabulka5912152733394551[[#This Row],[Body]],Tabulka5912152733394551[Body],0)</f>
        <v>17</v>
      </c>
      <c r="AI20" s="51" t="s">
        <v>32</v>
      </c>
      <c r="AJ20" s="29">
        <f>VLOOKUP(Tabulka5912152733394551[[#This Row],[Tým]],Tabulka3811142632384450[[Tým]:[Body]],6,FALSE)+Tabulka5912152733394551[[#This Row],[ ]]</f>
        <v>66</v>
      </c>
      <c r="AK20" s="76">
        <f>VLOOKUP(Tabulka5912152733394551[[#This Row],[Tým]],Tabulka59121527333945[[Tým]:[Body]],2,FALSE)</f>
        <v>66</v>
      </c>
      <c r="AL20" s="114">
        <f>Tabulka5912152733394551[[#This Row],[Umístění]]</f>
        <v>17</v>
      </c>
      <c r="AM20" s="15"/>
      <c r="AP20" s="1"/>
    </row>
    <row r="21" spans="2:42" ht="24.95" customHeight="1" x14ac:dyDescent="0.4">
      <c r="B21" s="30" t="s">
        <v>128</v>
      </c>
      <c r="C21" s="25">
        <f>IF(Tabulka1710132531374349[[#This Row],[ ]]="","",IF(Tabulka1710132531374349[[#This Row],[ ]]="NEÚČAST","",IF(OR(Tabulka1710132531374349[Výsledný čas]="N",Tabulka1710132531374349[Výsledný čas]="D"),$L$4-$L$5,_xlfn.RANK.EQ(Tabulka1710132531374349[[#This Row],[ ]],Tabulka1710132531374349[[ ]],1))))</f>
        <v>18</v>
      </c>
      <c r="D21" s="26" t="s">
        <v>153</v>
      </c>
      <c r="E21" s="356">
        <v>24.04</v>
      </c>
      <c r="F21" s="5">
        <v>22.26</v>
      </c>
      <c r="G21" s="29">
        <f>IF(OR(Tabulka1710132531374349[[#This Row],[LP]]="N",Tabulka1710132531374349[[#This Row],[PP]]="N"),"N",IF(OR(Tabulka1710132531374349[[#This Row],[LP]]="D",Tabulka1710132531374349[[#This Row],[PP]]="D"),"D",IF(OR(Tabulka1710132531374349[[#This Row],[LP]]="NEÚČAST",Tabulka1710132531374349[[#This Row],[PP]]="NEÚČAST"),"NEÚČAST",IF(OR(Tabulka1710132531374349[[#This Row],[LP]]="",Tabulka1710132531374349[[#This Row],[PP]]=""),"",MAX(Tabulka1710132531374349[[#This Row],[LP]:[PP]])))))</f>
        <v>24.04</v>
      </c>
      <c r="H21" s="333">
        <f>COUNTIF(Tabulka1710132531374349[[#This Row],[Tým]],"*")</f>
        <v>1</v>
      </c>
      <c r="I21" s="333">
        <f>COUNTIF(Tabulka1710132531374349[[#This Row],[Výsledný čas]],"NEÚČAST")</f>
        <v>0</v>
      </c>
      <c r="J21" s="9">
        <f>IF(Tabulka1710132531374349[[#This Row],[Výsledný čas]]="N",998,IF(Tabulka1710132531374349[[#This Row],[Výsledný čas]]="D",998,IF(Tabulka1710132531374349[[#This Row],[Výsledný čas]]="","",Tabulka1710132531374349[[#This Row],[Výsledný čas]])))</f>
        <v>24.04</v>
      </c>
      <c r="P21" s="7"/>
      <c r="Q21" s="8"/>
      <c r="R21" s="8"/>
      <c r="Z21" s="31">
        <f>IF(OR(Tabulka3811142632384450[Výsledný čas]="N",Tabulka3811142632384450[Výsledný čas]="D",Tabulka3811142632384450[Výsledný čas]="NEÚČAST"),Uvod!$E$4,_xlfn.RANK.EQ(Tabulka3811142632384450[[#This Row],[ ]],Tabulka3811142632384450[[ ]],1))</f>
        <v>19</v>
      </c>
      <c r="AA21" s="51" t="s">
        <v>32</v>
      </c>
      <c r="AB21" s="44" t="str">
        <f>VLOOKUP(Tabulka3811142632384450[[#This Row],[Tým]],Tabulka1710132531374349[[Tým]:[ ]],2,FALSE)</f>
        <v>NEÚČAST</v>
      </c>
      <c r="AC21" s="44" t="str">
        <f>VLOOKUP(Tabulka3811142632384450[[#This Row],[Tým]],Tabulka1710132531374349[[Tým]:[ ]],3,FALSE)</f>
        <v>NEÚČAST</v>
      </c>
      <c r="AD21" s="25" t="str">
        <f>VLOOKUP(Tabulka3811142632384450[[#This Row],[Tým]],Tabulka1710132531374349[[Tým]:[ ]],4,FALSE)</f>
        <v>NEÚČAST</v>
      </c>
      <c r="AE21" s="25" t="str">
        <f>VLOOKUP(Tabulka3811142632384450[[#This Row],[Tým]],Tabulka1710132531374349[[Tým]:[ ]],7,FALSE)</f>
        <v>NEÚČAST</v>
      </c>
      <c r="AF21" s="29">
        <f>IF(Tabulka3811142632384450[[#This Row],[Výsledný čas]]="N",5,IF(Tabulka3811142632384450[[#This Row],[Výsledný čas]]="D",0,IF(Tabulka3811142632384450[[#This Row],[Výsledný čas]]="NEÚČAST",0,Tabulka4[[#Totals],[Týmy muži]]+6-Tabulka3811142632384450[[#This Row],[Umístění]])))</f>
        <v>0</v>
      </c>
      <c r="AH21" s="31">
        <f>_xlfn.RANK.EQ(Tabulka5912152733394551[[#This Row],[Body]],Tabulka5912152733394551[Body],0)</f>
        <v>18</v>
      </c>
      <c r="AI21" s="51" t="s">
        <v>31</v>
      </c>
      <c r="AJ21" s="29">
        <f>VLOOKUP(Tabulka5912152733394551[[#This Row],[Tým]],Tabulka3811142632384450[[Tým]:[Body]],6,FALSE)+Tabulka5912152733394551[[#This Row],[ ]]</f>
        <v>62</v>
      </c>
      <c r="AK21" s="75">
        <f>VLOOKUP(Tabulka5912152733394551[[#This Row],[Tým]],Tabulka59121527333945[[Tým]:[Body]],2,FALSE)</f>
        <v>52</v>
      </c>
      <c r="AL21" s="82">
        <f>Tabulka5912152733394551[[#This Row],[Umístění]]</f>
        <v>18</v>
      </c>
    </row>
    <row r="22" spans="2:42" ht="24.95" customHeight="1" thickBot="1" x14ac:dyDescent="0.45">
      <c r="B22" s="30" t="s">
        <v>102</v>
      </c>
      <c r="C22" s="25">
        <f>IF(Tabulka1710132531374349[[#This Row],[ ]]="","",IF(Tabulka1710132531374349[[#This Row],[ ]]="NEÚČAST","",IF(OR(Tabulka1710132531374349[Výsledný čas]="N",Tabulka1710132531374349[Výsledný čas]="D"),$L$4-$L$5,_xlfn.RANK.EQ(Tabulka1710132531374349[[#This Row],[ ]],Tabulka1710132531374349[[ ]],1))))</f>
        <v>19</v>
      </c>
      <c r="D22" s="26" t="s">
        <v>154</v>
      </c>
      <c r="E22" s="5">
        <v>24.41</v>
      </c>
      <c r="F22" s="5">
        <v>24.05</v>
      </c>
      <c r="G22" s="29">
        <f>IF(OR(Tabulka1710132531374349[[#This Row],[LP]]="N",Tabulka1710132531374349[[#This Row],[PP]]="N"),"N",IF(OR(Tabulka1710132531374349[[#This Row],[LP]]="D",Tabulka1710132531374349[[#This Row],[PP]]="D"),"D",IF(OR(Tabulka1710132531374349[[#This Row],[LP]]="NEÚČAST",Tabulka1710132531374349[[#This Row],[PP]]="NEÚČAST"),"NEÚČAST",IF(OR(Tabulka1710132531374349[[#This Row],[LP]]="",Tabulka1710132531374349[[#This Row],[PP]]=""),"",MAX(Tabulka1710132531374349[[#This Row],[LP]:[PP]])))))</f>
        <v>24.41</v>
      </c>
      <c r="H22" s="333">
        <f>COUNTIF(Tabulka1710132531374349[[#This Row],[Tým]],"*")</f>
        <v>1</v>
      </c>
      <c r="I22" s="333">
        <f>COUNTIF(Tabulka1710132531374349[[#This Row],[Výsledný čas]],"NEÚČAST")</f>
        <v>0</v>
      </c>
      <c r="J22" s="9">
        <f>IF(Tabulka1710132531374349[[#This Row],[Výsledný čas]]="N",998,IF(Tabulka1710132531374349[[#This Row],[Výsledný čas]]="D",998,IF(Tabulka1710132531374349[[#This Row],[Výsledný čas]]="","",Tabulka1710132531374349[[#This Row],[Výsledný čas]])))</f>
        <v>24.41</v>
      </c>
      <c r="N22" s="68"/>
      <c r="P22" s="10"/>
      <c r="Q22" s="8"/>
      <c r="R22" s="8"/>
      <c r="Z22" s="33">
        <f>IF(OR(Tabulka3811142632384450[Výsledný čas]="N",Tabulka3811142632384450[Výsledný čas]="D",Tabulka3811142632384450[Výsledný čas]="NEÚČAST"),Uvod!$E$4,_xlfn.RANK.EQ(Tabulka3811142632384450[[#This Row],[ ]],Tabulka3811142632384450[[ ]],1))</f>
        <v>19</v>
      </c>
      <c r="AA22" s="98" t="s">
        <v>13</v>
      </c>
      <c r="AB22" s="45" t="str">
        <f>VLOOKUP(Tabulka3811142632384450[[#This Row],[Tým]],Tabulka1710132531374349[[Tým]:[ ]],2,FALSE)</f>
        <v>NEÚČAST</v>
      </c>
      <c r="AC22" s="45" t="str">
        <f>VLOOKUP(Tabulka3811142632384450[[#This Row],[Tým]],Tabulka1710132531374349[[Tým]:[ ]],3,FALSE)</f>
        <v>NEÚČAST</v>
      </c>
      <c r="AD22" s="34" t="str">
        <f>VLOOKUP(Tabulka3811142632384450[[#This Row],[Tým]],Tabulka1710132531374349[[Tým]:[ ]],4,FALSE)</f>
        <v>NEÚČAST</v>
      </c>
      <c r="AE22" s="34" t="str">
        <f>VLOOKUP(Tabulka3811142632384450[[#This Row],[Tým]],Tabulka1710132531374349[[Tým]:[ ]],7,FALSE)</f>
        <v>NEÚČAST</v>
      </c>
      <c r="AF22" s="36">
        <f>IF(Tabulka3811142632384450[[#This Row],[Výsledný čas]]="N",5,IF(Tabulka3811142632384450[[#This Row],[Výsledný čas]]="D",0,IF(Tabulka3811142632384450[[#This Row],[Výsledný čas]]="NEÚČAST",0,Tabulka4[[#Totals],[Týmy muži]]+6-Tabulka3811142632384450[[#This Row],[Umístění]])))</f>
        <v>0</v>
      </c>
      <c r="AH22" s="33">
        <f>_xlfn.RANK.EQ(Tabulka5912152733394551[[#This Row],[Body]],Tabulka5912152733394551[Body],0)</f>
        <v>19</v>
      </c>
      <c r="AI22" s="98" t="s">
        <v>17</v>
      </c>
      <c r="AJ22" s="36">
        <f>VLOOKUP(Tabulka5912152733394551[[#This Row],[Tým]],Tabulka3811142632384450[[Tým]:[Body]],6,FALSE)+Tabulka5912152733394551[[#This Row],[ ]]</f>
        <v>49</v>
      </c>
      <c r="AK22" s="76">
        <f>VLOOKUP(Tabulka5912152733394551[[#This Row],[Tým]],Tabulka59121527333945[[Tým]:[Body]],2,FALSE)</f>
        <v>36</v>
      </c>
      <c r="AL22" s="82">
        <f>Tabulka5912152733394551[[#This Row],[Umístění]]</f>
        <v>19</v>
      </c>
    </row>
    <row r="23" spans="2:42" ht="24.95" customHeight="1" x14ac:dyDescent="0.4">
      <c r="B23" s="30" t="s">
        <v>59</v>
      </c>
      <c r="C23" s="334">
        <f>IF(Tabulka1710132531374349[[#This Row],[ ]]="","",IF(Tabulka1710132531374349[[#This Row],[ ]]="NEÚČAST","",IF(OR(Tabulka1710132531374349[Výsledný čas]="N",Tabulka1710132531374349[Výsledný čas]="D"),$L$4-$L$5,_xlfn.RANK.EQ(Tabulka1710132531374349[[#This Row],[ ]],Tabulka1710132531374349[[ ]],1))))</f>
        <v>20</v>
      </c>
      <c r="D23" s="357" t="s">
        <v>114</v>
      </c>
      <c r="E23" s="5">
        <v>27.06</v>
      </c>
      <c r="F23" s="5">
        <v>25.63</v>
      </c>
      <c r="G23" s="336">
        <f>IF(OR(Tabulka1710132531374349[[#This Row],[LP]]="N",Tabulka1710132531374349[[#This Row],[PP]]="N"),"N",IF(OR(Tabulka1710132531374349[[#This Row],[LP]]="D",Tabulka1710132531374349[[#This Row],[PP]]="D"),"D",IF(OR(Tabulka1710132531374349[[#This Row],[LP]]="NEÚČAST",Tabulka1710132531374349[[#This Row],[PP]]="NEÚČAST"),"NEÚČAST",IF(OR(Tabulka1710132531374349[[#This Row],[LP]]="",Tabulka1710132531374349[[#This Row],[PP]]=""),"",MAX(Tabulka1710132531374349[[#This Row],[LP]:[PP]])))))</f>
        <v>27.06</v>
      </c>
      <c r="H23" s="351">
        <f>COUNTIF(Tabulka1710132531374349[[#This Row],[Tým]],"*")</f>
        <v>1</v>
      </c>
      <c r="I23" s="351">
        <f>COUNTIF(Tabulka1710132531374349[[#This Row],[Výsledný čas]],"NEÚČAST")</f>
        <v>0</v>
      </c>
      <c r="J23" s="332">
        <f>IF(Tabulka1710132531374349[[#This Row],[Výsledný čas]]="N",998,IF(Tabulka1710132531374349[[#This Row],[Výsledný čas]]="D",998,IF(Tabulka1710132531374349[[#This Row],[Výsledný čas]]="","",Tabulka1710132531374349[[#This Row],[Výsledný čas]])))</f>
        <v>27.06</v>
      </c>
      <c r="N23" s="70"/>
      <c r="P23" s="10"/>
      <c r="Q23" s="8"/>
      <c r="R23" s="8"/>
      <c r="AB23" s="3"/>
      <c r="AC23" s="3"/>
      <c r="AL23" s="15"/>
    </row>
    <row r="24" spans="2:42" ht="24.95" customHeight="1" thickBot="1" x14ac:dyDescent="0.45">
      <c r="B24" s="32" t="s">
        <v>106</v>
      </c>
      <c r="C24" s="334">
        <f>IF(Tabulka1710132531374349[[#This Row],[ ]]="","",IF(Tabulka1710132531374349[[#This Row],[ ]]="NEÚČAST","",IF(OR(Tabulka1710132531374349[Výsledný čas]="N",Tabulka1710132531374349[Výsledný čas]="D"),$L$4-$L$5,_xlfn.RANK.EQ(Tabulka1710132531374349[[#This Row],[ ]],Tabulka1710132531374349[[ ]],1))))</f>
        <v>21</v>
      </c>
      <c r="D24" s="26" t="s">
        <v>31</v>
      </c>
      <c r="E24" s="5">
        <v>28.24</v>
      </c>
      <c r="F24" s="5">
        <v>28.92</v>
      </c>
      <c r="G24" s="336">
        <f>IF(OR(Tabulka1710132531374349[[#This Row],[LP]]="N",Tabulka1710132531374349[[#This Row],[PP]]="N"),"N",IF(OR(Tabulka1710132531374349[[#This Row],[LP]]="D",Tabulka1710132531374349[[#This Row],[PP]]="D"),"D",IF(OR(Tabulka1710132531374349[[#This Row],[LP]]="NEÚČAST",Tabulka1710132531374349[[#This Row],[PP]]="NEÚČAST"),"NEÚČAST",IF(OR(Tabulka1710132531374349[[#This Row],[LP]]="",Tabulka1710132531374349[[#This Row],[PP]]=""),"",MAX(Tabulka1710132531374349[[#This Row],[LP]:[PP]])))))</f>
        <v>28.92</v>
      </c>
      <c r="H24" s="351">
        <f>COUNTIF(Tabulka1710132531374349[[#This Row],[Tým]],"*")</f>
        <v>1</v>
      </c>
      <c r="I24" s="351">
        <f>COUNTIF(Tabulka1710132531374349[[#This Row],[Výsledný čas]],"NEÚČAST")</f>
        <v>0</v>
      </c>
      <c r="J24" s="332">
        <f>IF(Tabulka1710132531374349[[#This Row],[Výsledný čas]]="N",998,IF(Tabulka1710132531374349[[#This Row],[Výsledný čas]]="D",998,IF(Tabulka1710132531374349[[#This Row],[Výsledný čas]]="","",Tabulka1710132531374349[[#This Row],[Výsledný čas]])))</f>
        <v>28.92</v>
      </c>
      <c r="P24" s="10"/>
      <c r="Q24" s="8"/>
      <c r="R24" s="8"/>
      <c r="AB24" s="3"/>
      <c r="AC24" s="3"/>
      <c r="AL24" s="15"/>
    </row>
    <row r="25" spans="2:42" ht="24.95" customHeight="1" x14ac:dyDescent="0.4">
      <c r="B25" s="31" t="s">
        <v>101</v>
      </c>
      <c r="C25" s="334">
        <f>IF(Tabulka1710132531374349[[#This Row],[ ]]="","",IF(Tabulka1710132531374349[[#This Row],[ ]]="NEÚČAST","",IF(OR(Tabulka1710132531374349[Výsledný čas]="N",Tabulka1710132531374349[Výsledný čas]="D"),$L$4-$L$5,_xlfn.RANK.EQ(Tabulka1710132531374349[[#This Row],[ ]],Tabulka1710132531374349[[ ]],1))))</f>
        <v>22</v>
      </c>
      <c r="D25" s="27" t="s">
        <v>14</v>
      </c>
      <c r="E25" s="25">
        <v>30.59</v>
      </c>
      <c r="F25" s="25">
        <v>30.93</v>
      </c>
      <c r="G25" s="336">
        <f>IF(OR(Tabulka1710132531374349[[#This Row],[LP]]="N",Tabulka1710132531374349[[#This Row],[PP]]="N"),"N",IF(OR(Tabulka1710132531374349[[#This Row],[LP]]="D",Tabulka1710132531374349[[#This Row],[PP]]="D"),"D",IF(OR(Tabulka1710132531374349[[#This Row],[LP]]="NEÚČAST",Tabulka1710132531374349[[#This Row],[PP]]="NEÚČAST"),"NEÚČAST",IF(OR(Tabulka1710132531374349[[#This Row],[LP]]="",Tabulka1710132531374349[[#This Row],[PP]]=""),"",MAX(Tabulka1710132531374349[[#This Row],[LP]:[PP]])))))</f>
        <v>30.93</v>
      </c>
      <c r="H25" s="351">
        <f>COUNTIF(Tabulka1710132531374349[[#This Row],[Tým]],"*")</f>
        <v>1</v>
      </c>
      <c r="I25" s="351">
        <f>COUNTIF(Tabulka1710132531374349[[#This Row],[Výsledný čas]],"NEÚČAST")</f>
        <v>0</v>
      </c>
      <c r="J25" s="332">
        <f>IF(Tabulka1710132531374349[[#This Row],[Výsledný čas]]="N",998,IF(Tabulka1710132531374349[[#This Row],[Výsledný čas]]="D",998,IF(Tabulka1710132531374349[[#This Row],[Výsledný čas]]="","",Tabulka1710132531374349[[#This Row],[Výsledný čas]])))</f>
        <v>30.93</v>
      </c>
      <c r="P25" s="10"/>
      <c r="Q25" s="8"/>
      <c r="R25" s="8"/>
      <c r="Z25" s="308" t="str">
        <f>N2</f>
        <v xml:space="preserve">Výsledky - Soutěže 7. kola NHHL 21.7. 2023 Bohuslavice - ŽENY </v>
      </c>
      <c r="AA25" s="309"/>
      <c r="AB25" s="309"/>
      <c r="AC25" s="309"/>
      <c r="AD25" s="309"/>
      <c r="AE25" s="309"/>
      <c r="AF25" s="310"/>
      <c r="AH25" s="308" t="s">
        <v>132</v>
      </c>
      <c r="AI25" s="309"/>
      <c r="AJ25" s="309"/>
      <c r="AK25" s="310"/>
      <c r="AL25" s="15"/>
    </row>
    <row r="26" spans="2:42" ht="24.95" customHeight="1" thickBot="1" x14ac:dyDescent="0.45">
      <c r="B26" s="31" t="s">
        <v>107</v>
      </c>
      <c r="C26" s="334">
        <f>IF(Tabulka1710132531374349[[#This Row],[ ]]="","",IF(Tabulka1710132531374349[[#This Row],[ ]]="NEÚČAST","",IF(OR(Tabulka1710132531374349[Výsledný čas]="N",Tabulka1710132531374349[Výsledný čas]="D"),$L$4-$L$5,_xlfn.RANK.EQ(Tabulka1710132531374349[[#This Row],[ ]],Tabulka1710132531374349[[ ]],1))))</f>
        <v>23</v>
      </c>
      <c r="D26" s="27" t="s">
        <v>155</v>
      </c>
      <c r="E26" s="25" t="s">
        <v>9</v>
      </c>
      <c r="F26" s="25" t="s">
        <v>9</v>
      </c>
      <c r="G26" s="336" t="str">
        <f>IF(OR(Tabulka1710132531374349[[#This Row],[LP]]="N",Tabulka1710132531374349[[#This Row],[PP]]="N"),"N",IF(OR(Tabulka1710132531374349[[#This Row],[LP]]="D",Tabulka1710132531374349[[#This Row],[PP]]="D"),"D",IF(OR(Tabulka1710132531374349[[#This Row],[LP]]="NEÚČAST",Tabulka1710132531374349[[#This Row],[PP]]="NEÚČAST"),"NEÚČAST",IF(OR(Tabulka1710132531374349[[#This Row],[LP]]="",Tabulka1710132531374349[[#This Row],[PP]]=""),"",MAX(Tabulka1710132531374349[[#This Row],[LP]:[PP]])))))</f>
        <v>N</v>
      </c>
      <c r="H26" s="351">
        <f>COUNTIF(Tabulka1710132531374349[[#This Row],[Tým]],"*")</f>
        <v>1</v>
      </c>
      <c r="I26" s="351">
        <f>COUNTIF(Tabulka1710132531374349[[#This Row],[Výsledný čas]],"NEÚČAST")</f>
        <v>0</v>
      </c>
      <c r="J26" s="332">
        <f>IF(Tabulka1710132531374349[[#This Row],[Výsledný čas]]="N",998,IF(Tabulka1710132531374349[[#This Row],[Výsledný čas]]="D",998,IF(Tabulka1710132531374349[[#This Row],[Výsledný čas]]="","",Tabulka1710132531374349[[#This Row],[Výsledný čas]])))</f>
        <v>998</v>
      </c>
      <c r="P26" s="10"/>
      <c r="Q26" s="8"/>
      <c r="R26" s="8"/>
      <c r="Z26" s="58" t="s">
        <v>1</v>
      </c>
      <c r="AA26" s="59" t="s">
        <v>2</v>
      </c>
      <c r="AB26" s="59" t="s">
        <v>3</v>
      </c>
      <c r="AC26" s="59" t="s">
        <v>4</v>
      </c>
      <c r="AD26" s="59" t="s">
        <v>5</v>
      </c>
      <c r="AE26" s="59" t="s">
        <v>27</v>
      </c>
      <c r="AF26" s="60" t="s">
        <v>7</v>
      </c>
      <c r="AH26" s="58" t="s">
        <v>1</v>
      </c>
      <c r="AI26" s="59" t="s">
        <v>2</v>
      </c>
      <c r="AJ26" s="59" t="s">
        <v>7</v>
      </c>
      <c r="AK26" s="29" t="s">
        <v>27</v>
      </c>
      <c r="AL26" s="94" t="s">
        <v>73</v>
      </c>
      <c r="AM26" s="15"/>
      <c r="AP26" s="1"/>
    </row>
    <row r="27" spans="2:42" ht="24.95" customHeight="1" x14ac:dyDescent="0.4">
      <c r="B27" s="31" t="s">
        <v>103</v>
      </c>
      <c r="C27" s="334" t="str">
        <f>IF(Tabulka1710132531374349[[#This Row],[ ]]="","",IF(Tabulka1710132531374349[[#This Row],[ ]]="NEÚČAST","",IF(OR(Tabulka1710132531374349[Výsledný čas]="N",Tabulka1710132531374349[Výsledný čas]="D"),$L$4-$L$5,_xlfn.RANK.EQ(Tabulka1710132531374349[[#This Row],[ ]],Tabulka1710132531374349[[ ]],1))))</f>
        <v/>
      </c>
      <c r="D27" s="27" t="s">
        <v>13</v>
      </c>
      <c r="E27" s="25" t="s">
        <v>103</v>
      </c>
      <c r="F27" s="25" t="s">
        <v>103</v>
      </c>
      <c r="G27" s="336" t="str">
        <f>IF(OR(Tabulka1710132531374349[[#This Row],[LP]]="N",Tabulka1710132531374349[[#This Row],[PP]]="N"),"N",IF(OR(Tabulka1710132531374349[[#This Row],[LP]]="D",Tabulka1710132531374349[[#This Row],[PP]]="D"),"D",IF(OR(Tabulka1710132531374349[[#This Row],[LP]]="NEÚČAST",Tabulka1710132531374349[[#This Row],[PP]]="NEÚČAST"),"NEÚČAST",IF(OR(Tabulka1710132531374349[[#This Row],[LP]]="",Tabulka1710132531374349[[#This Row],[PP]]=""),"",MAX(Tabulka1710132531374349[[#This Row],[LP]:[PP]])))))</f>
        <v>NEÚČAST</v>
      </c>
      <c r="H27" s="351">
        <f>COUNTIF(Tabulka1710132531374349[[#This Row],[Tým]],"*")</f>
        <v>1</v>
      </c>
      <c r="I27" s="351">
        <f>COUNTIF(Tabulka1710132531374349[[#This Row],[Výsledný čas]],"NEÚČAST")</f>
        <v>1</v>
      </c>
      <c r="J27" s="332" t="str">
        <f>IF(Tabulka1710132531374349[[#This Row],[Výsledný čas]]="N",998,IF(Tabulka1710132531374349[[#This Row],[Výsledný čas]]="D",998,IF(Tabulka1710132531374349[[#This Row],[Výsledný čas]]="","",Tabulka1710132531374349[[#This Row],[Výsledný čas]])))</f>
        <v>NEÚČAST</v>
      </c>
      <c r="N27" s="68"/>
      <c r="P27" s="7"/>
      <c r="Q27" s="8"/>
      <c r="R27" s="8"/>
      <c r="Z27" s="77">
        <f>IF(Tabulka38111422834404652[[#This Row],[ ]]="NEÚČAST","",IF(OR(Tabulka38111422834404652[Výsledný čas]="N",Tabulka38111422834404652[Výsledný čas]="D"),Uvod!$E$6,_xlfn.RANK.EQ(Tabulka38111422834404652[[#This Row],[ ]],Tabulka38111422834404652[[ ]],1)))</f>
        <v>1</v>
      </c>
      <c r="AA27" s="78" t="s">
        <v>22</v>
      </c>
      <c r="AB27" s="79">
        <f>VLOOKUP(Tabulka38111422834404652[[#This Row],[Tým]],Tabulka17101363036424854[[Tým]:[ ]],2,FALSE)</f>
        <v>17.39</v>
      </c>
      <c r="AC27" s="79">
        <f>VLOOKUP(Tabulka38111422834404652[[#This Row],[Tým]],Tabulka17101363036424854[[Tým]:[ ]],3,FALSE)</f>
        <v>17.96</v>
      </c>
      <c r="AD27" s="80">
        <f>VLOOKUP(Tabulka38111422834404652[[#This Row],[Tým]],Tabulka17101363036424854[[Tým]:[ ]],4,FALSE)</f>
        <v>17.96</v>
      </c>
      <c r="AE27" s="80">
        <f>VLOOKUP(Tabulka38111422834404652[[#This Row],[Tým]],Tabulka17101363036424854[[Tým]:[ ]],7,FALSE)</f>
        <v>17.96</v>
      </c>
      <c r="AF27" s="81">
        <f>IF(Tabulka38111422834404652[[#This Row],[Výsledný čas]]="N",5,IF(Tabulka38111422834404652[[#This Row],[Výsledný čas]]="D",0,IF(Tabulka38111422834404652[[#This Row],[Výsledný čas]]="NEÚČAST",0,Tabulka8[[#Totals],[Týmy ženy]]+6-Tabulka38111422834404652[[#This Row],[Umístění]])))</f>
        <v>15</v>
      </c>
      <c r="AH27" s="77">
        <f>_xlfn.RANK.EQ(Tabulka59121532935414753[[#This Row],[Body]],Tabulka59121532935414753[Body],0)</f>
        <v>1</v>
      </c>
      <c r="AI27" s="78" t="s">
        <v>22</v>
      </c>
      <c r="AJ27" s="81">
        <f>VLOOKUP(Tabulka59121532935414753[[#This Row],[Tým]],Tabulka38111422834404652[[Tým]:[Body]],6,FALSE)+Tabulka59121532935414753[[#This Row],[ ]]</f>
        <v>101</v>
      </c>
      <c r="AK27" s="75">
        <f>VLOOKUP(Tabulka59121532935414753[[#This Row],[Tým]],Tabulka591215329354147[[Tým]:[Body]],2,FALSE)</f>
        <v>86</v>
      </c>
      <c r="AL27" s="92">
        <f>Tabulka59121532935414753[[#This Row],[Umístění]]</f>
        <v>1</v>
      </c>
      <c r="AM27" s="15"/>
      <c r="AP27" s="1"/>
    </row>
    <row r="28" spans="2:42" ht="24.95" customHeight="1" x14ac:dyDescent="0.4">
      <c r="B28" s="31" t="s">
        <v>103</v>
      </c>
      <c r="C28" s="334" t="str">
        <f>IF(Tabulka1710132531374349[[#This Row],[ ]]="","",IF(Tabulka1710132531374349[[#This Row],[ ]]="NEÚČAST","",IF(OR(Tabulka1710132531374349[Výsledný čas]="N",Tabulka1710132531374349[Výsledný čas]="D"),$L$4-$L$5,_xlfn.RANK.EQ(Tabulka1710132531374349[[#This Row],[ ]],Tabulka1710132531374349[[ ]],1))))</f>
        <v/>
      </c>
      <c r="D28" s="27" t="s">
        <v>6</v>
      </c>
      <c r="E28" s="25" t="s">
        <v>103</v>
      </c>
      <c r="F28" s="25" t="s">
        <v>103</v>
      </c>
      <c r="G28" s="336" t="str">
        <f>IF(OR(Tabulka1710132531374349[[#This Row],[LP]]="N",Tabulka1710132531374349[[#This Row],[PP]]="N"),"N",IF(OR(Tabulka1710132531374349[[#This Row],[LP]]="D",Tabulka1710132531374349[[#This Row],[PP]]="D"),"D",IF(OR(Tabulka1710132531374349[[#This Row],[LP]]="NEÚČAST",Tabulka1710132531374349[[#This Row],[PP]]="NEÚČAST"),"NEÚČAST",IF(OR(Tabulka1710132531374349[[#This Row],[LP]]="",Tabulka1710132531374349[[#This Row],[PP]]=""),"",MAX(Tabulka1710132531374349[[#This Row],[LP]:[PP]])))))</f>
        <v>NEÚČAST</v>
      </c>
      <c r="H28" s="351">
        <f>COUNTIF(Tabulka1710132531374349[[#This Row],[Tým]],"*")</f>
        <v>1</v>
      </c>
      <c r="I28" s="351">
        <f>COUNTIF(Tabulka1710132531374349[[#This Row],[Výsledný čas]],"NEÚČAST")</f>
        <v>1</v>
      </c>
      <c r="J28" s="332" t="str">
        <f>IF(Tabulka1710132531374349[[#This Row],[Výsledný čas]]="N",998,IF(Tabulka1710132531374349[[#This Row],[Výsledný čas]]="D",998,IF(Tabulka1710132531374349[[#This Row],[Výsledný čas]]="","",Tabulka1710132531374349[[#This Row],[Výsledný čas]])))</f>
        <v>NEÚČAST</v>
      </c>
      <c r="N28" s="70"/>
      <c r="P28" s="7"/>
      <c r="Q28" s="8"/>
      <c r="R28" s="8"/>
      <c r="Z28" s="31">
        <f>IF(OR(Tabulka38111422834404652[Výsledný čas]="N",Tabulka38111422834404652[Výsledný čas]="D",Tabulka38111422834404652[Výsledný čas]="NEÚČAST"),Uvod!$E$6,_xlfn.RANK.EQ(Tabulka38111422834404652[[#This Row],[ ]],Tabulka38111422834404652[[ ]],1))</f>
        <v>2</v>
      </c>
      <c r="AA28" s="51" t="s">
        <v>34</v>
      </c>
      <c r="AB28" s="44">
        <f>VLOOKUP(Tabulka38111422834404652[[#This Row],[Tým]],Tabulka17101363036424854[[Tým]:[ ]],2,FALSE)</f>
        <v>17.77</v>
      </c>
      <c r="AC28" s="44">
        <f>VLOOKUP(Tabulka38111422834404652[[#This Row],[Tým]],Tabulka17101363036424854[[Tým]:[ ]],3,FALSE)</f>
        <v>17.98</v>
      </c>
      <c r="AD28" s="25">
        <f>VLOOKUP(Tabulka38111422834404652[[#This Row],[Tým]],Tabulka17101363036424854[[Tým]:[ ]],4,FALSE)</f>
        <v>17.98</v>
      </c>
      <c r="AE28" s="25">
        <f>VLOOKUP(Tabulka38111422834404652[[#This Row],[Tým]],Tabulka17101363036424854[[Tým]:[ ]],7,FALSE)</f>
        <v>17.98</v>
      </c>
      <c r="AF28" s="29">
        <f>IF(Tabulka38111422834404652[[#This Row],[Výsledný čas]]="N",5,IF(Tabulka38111422834404652[[#This Row],[Výsledný čas]]="D",0,IF(Tabulka38111422834404652[[#This Row],[Výsledný čas]]="NEÚČAST",0,Tabulka8[[#Totals],[Týmy ženy]]+6-Tabulka38111422834404652[[#This Row],[Umístění]])))</f>
        <v>14</v>
      </c>
      <c r="AH28" s="31">
        <f>_xlfn.RANK.EQ(Tabulka59121532935414753[[#This Row],[Body]],Tabulka59121532935414753[Body],0)</f>
        <v>2</v>
      </c>
      <c r="AI28" s="51" t="s">
        <v>34</v>
      </c>
      <c r="AJ28" s="29">
        <f>VLOOKUP(Tabulka59121532935414753[[#This Row],[Tým]],Tabulka38111422834404652[[Tým]:[Body]],6,FALSE)+Tabulka59121532935414753[[#This Row],[ ]]</f>
        <v>99</v>
      </c>
      <c r="AK28" s="75">
        <f>VLOOKUP(Tabulka59121532935414753[[#This Row],[Tým]],Tabulka591215329354147[[Tým]:[Body]],2,FALSE)</f>
        <v>85</v>
      </c>
      <c r="AL28" s="47">
        <f>Tabulka59121532935414753[[#This Row],[Umístění]]</f>
        <v>2</v>
      </c>
      <c r="AM28" s="15"/>
      <c r="AP28" s="1"/>
    </row>
    <row r="29" spans="2:42" ht="24.95" customHeight="1" thickBot="1" x14ac:dyDescent="0.45">
      <c r="B29" s="33" t="s">
        <v>103</v>
      </c>
      <c r="C29" s="337" t="str">
        <f>IF(Tabulka1710132531374349[[#This Row],[ ]]="","",IF(Tabulka1710132531374349[[#This Row],[ ]]="NEÚČAST","",IF(OR(Tabulka1710132531374349[Výsledný čas]="N",Tabulka1710132531374349[Výsledný čas]="D"),$L$4-$L$5,_xlfn.RANK.EQ(Tabulka1710132531374349[[#This Row],[ ]],Tabulka1710132531374349[[ ]],1))))</f>
        <v/>
      </c>
      <c r="D29" s="35" t="s">
        <v>32</v>
      </c>
      <c r="E29" s="34" t="s">
        <v>103</v>
      </c>
      <c r="F29" s="34" t="s">
        <v>103</v>
      </c>
      <c r="G29" s="339" t="str">
        <f>IF(OR(Tabulka1710132531374349[[#This Row],[LP]]="N",Tabulka1710132531374349[[#This Row],[PP]]="N"),"N",IF(OR(Tabulka1710132531374349[[#This Row],[LP]]="D",Tabulka1710132531374349[[#This Row],[PP]]="D"),"D",IF(OR(Tabulka1710132531374349[[#This Row],[LP]]="NEÚČAST",Tabulka1710132531374349[[#This Row],[PP]]="NEÚČAST"),"NEÚČAST",IF(OR(Tabulka1710132531374349[[#This Row],[LP]]="",Tabulka1710132531374349[[#This Row],[PP]]=""),"",MAX(Tabulka1710132531374349[[#This Row],[LP]:[PP]])))))</f>
        <v>NEÚČAST</v>
      </c>
      <c r="H29" s="352">
        <f>COUNTIF(Tabulka1710132531374349[[#This Row],[Tým]],"*")</f>
        <v>1</v>
      </c>
      <c r="I29" s="352">
        <f>COUNTIF(Tabulka1710132531374349[[#This Row],[Výsledný čas]],"NEÚČAST")</f>
        <v>1</v>
      </c>
      <c r="J29" s="353" t="str">
        <f>IF(Tabulka1710132531374349[[#This Row],[Výsledný čas]]="N",998,IF(Tabulka1710132531374349[[#This Row],[Výsledný čas]]="D",998,IF(Tabulka1710132531374349[[#This Row],[Výsledný čas]]="","",Tabulka1710132531374349[[#This Row],[Výsledný čas]])))</f>
        <v>NEÚČAST</v>
      </c>
      <c r="P29" s="7"/>
      <c r="Q29" s="8"/>
      <c r="R29" s="8"/>
      <c r="Z29" s="31">
        <f>IF(Tabulka38111422834404652[[#This Row],[ ]]="NEÚČAST","",IF(OR(Tabulka38111422834404652[Výsledný čas]="N",Tabulka38111422834404652[Výsledný čas]="D"),Uvod!$E$6,_xlfn.RANK.EQ(Tabulka38111422834404652[[#This Row],[ ]],Tabulka38111422834404652[[ ]],1)))</f>
        <v>3</v>
      </c>
      <c r="AA29" s="51" t="s">
        <v>23</v>
      </c>
      <c r="AB29" s="44">
        <f>VLOOKUP(Tabulka38111422834404652[[#This Row],[Tým]],Tabulka17101363036424854[[Tým]:[ ]],2,FALSE)</f>
        <v>20.29</v>
      </c>
      <c r="AC29" s="44">
        <f>VLOOKUP(Tabulka38111422834404652[[#This Row],[Tým]],Tabulka17101363036424854[[Tým]:[ ]],3,FALSE)</f>
        <v>19.510000000000002</v>
      </c>
      <c r="AD29" s="25">
        <f>VLOOKUP(Tabulka38111422834404652[[#This Row],[Tým]],Tabulka17101363036424854[[Tým]:[ ]],4,FALSE)</f>
        <v>20.29</v>
      </c>
      <c r="AE29" s="25">
        <f>VLOOKUP(Tabulka38111422834404652[[#This Row],[Tým]],Tabulka17101363036424854[[Tým]:[ ]],7,FALSE)</f>
        <v>20.29</v>
      </c>
      <c r="AF29" s="29">
        <f>IF(Tabulka38111422834404652[[#This Row],[Výsledný čas]]="N",5,IF(Tabulka38111422834404652[[#This Row],[Výsledný čas]]="D",0,IF(Tabulka38111422834404652[[#This Row],[Výsledný čas]]="NEÚČAST",0,Tabulka8[[#Totals],[Týmy ženy]]+6-Tabulka38111422834404652[[#This Row],[Umístění]])))</f>
        <v>13</v>
      </c>
      <c r="AH29" s="31">
        <f>_xlfn.RANK.EQ(Tabulka59121532935414753[[#This Row],[Body]],Tabulka59121532935414753[Body],0)</f>
        <v>3</v>
      </c>
      <c r="AI29" s="51" t="s">
        <v>35</v>
      </c>
      <c r="AJ29" s="29">
        <f>VLOOKUP(Tabulka59121532935414753[[#This Row],[Tým]],Tabulka38111422834404652[[Tým]:[Body]],6,FALSE)+Tabulka59121532935414753[[#This Row],[ ]]</f>
        <v>81</v>
      </c>
      <c r="AK29" s="75">
        <f>VLOOKUP(Tabulka59121532935414753[[#This Row],[Tým]],Tabulka591215329354147[[Tým]:[Body]],2,FALSE)</f>
        <v>70</v>
      </c>
      <c r="AL29" s="47">
        <f>Tabulka59121532935414753[[#This Row],[Umístění]]</f>
        <v>3</v>
      </c>
      <c r="AP29" s="1"/>
    </row>
    <row r="30" spans="2:42" ht="24.95" customHeight="1" thickBot="1" x14ac:dyDescent="0.45">
      <c r="D30" s="16"/>
      <c r="P30" s="7"/>
      <c r="Q30" s="8"/>
      <c r="R30" s="8"/>
      <c r="Z30" s="31">
        <f>IF(Tabulka38111422834404652[[#This Row],[ ]]="NEÚČAST","",IF(OR(Tabulka38111422834404652[Výsledný čas]="N",Tabulka38111422834404652[Výsledný čas]="D"),Uvod!$E$6,_xlfn.RANK.EQ(Tabulka38111422834404652[[#This Row],[ ]],Tabulka38111422834404652[[ ]],1)))</f>
        <v>4</v>
      </c>
      <c r="AA30" s="51" t="s">
        <v>21</v>
      </c>
      <c r="AB30" s="44">
        <f>VLOOKUP(Tabulka38111422834404652[[#This Row],[Tým]],Tabulka17101363036424854[[Tým]:[ ]],2,FALSE)</f>
        <v>19.12</v>
      </c>
      <c r="AC30" s="44">
        <f>VLOOKUP(Tabulka38111422834404652[[#This Row],[Tým]],Tabulka17101363036424854[[Tým]:[ ]],3,FALSE)</f>
        <v>20.32</v>
      </c>
      <c r="AD30" s="25">
        <f>VLOOKUP(Tabulka38111422834404652[[#This Row],[Tým]],Tabulka17101363036424854[[Tým]:[ ]],4,FALSE)</f>
        <v>20.32</v>
      </c>
      <c r="AE30" s="25">
        <f>VLOOKUP(Tabulka38111422834404652[[#This Row],[Tým]],Tabulka17101363036424854[[Tým]:[ ]],7,FALSE)</f>
        <v>20.32</v>
      </c>
      <c r="AF30" s="29">
        <f>IF(Tabulka38111422834404652[[#This Row],[Výsledný čas]]="N",5,IF(Tabulka38111422834404652[[#This Row],[Výsledný čas]]="D",0,IF(Tabulka38111422834404652[[#This Row],[Výsledný čas]]="NEÚČAST",0,Tabulka8[[#Totals],[Týmy ženy]]+6-Tabulka38111422834404652[[#This Row],[Umístění]])))</f>
        <v>12</v>
      </c>
      <c r="AH30" s="31">
        <f>_xlfn.RANK.EQ(Tabulka59121532935414753[[#This Row],[Body]],Tabulka59121532935414753[Body],0)</f>
        <v>4</v>
      </c>
      <c r="AI30" s="51" t="s">
        <v>19</v>
      </c>
      <c r="AJ30" s="29">
        <f>VLOOKUP(Tabulka59121532935414753[[#This Row],[Tým]],Tabulka38111422834404652[[Tým]:[Body]],6,FALSE)+Tabulka59121532935414753[[#This Row],[ ]]</f>
        <v>71</v>
      </c>
      <c r="AK30" s="76">
        <f>VLOOKUP(Tabulka59121532935414753[[#This Row],[Tým]],Tabulka591215329354147[[Tým]:[Body]],2,FALSE)</f>
        <v>64</v>
      </c>
      <c r="AL30" s="47">
        <f>Tabulka59121532935414753[[#This Row],[Umístění]]</f>
        <v>4</v>
      </c>
      <c r="AP30" s="1"/>
    </row>
    <row r="31" spans="2:42" ht="24.95" customHeight="1" x14ac:dyDescent="0.4">
      <c r="D31" s="16"/>
      <c r="P31" s="7"/>
      <c r="Q31" s="8"/>
      <c r="R31" s="8"/>
      <c r="Z31" s="31">
        <f>IF(Tabulka38111422834404652[[#This Row],[ ]]="NEÚČAST","",IF(OR(Tabulka38111422834404652[Výsledný čas]="N",Tabulka38111422834404652[Výsledný čas]="D"),Uvod!$E$4,_xlfn.RANK.EQ(Tabulka38111422834404652[[#This Row],[ ]],Tabulka38111422834404652[[ ]],1)))</f>
        <v>5</v>
      </c>
      <c r="AA31" s="51" t="s">
        <v>35</v>
      </c>
      <c r="AB31" s="44">
        <f>VLOOKUP(Tabulka38111422834404652[[#This Row],[Tým]],Tabulka17101363036424854[[Tým]:[ ]],2,FALSE)</f>
        <v>20.92</v>
      </c>
      <c r="AC31" s="44">
        <f>VLOOKUP(Tabulka38111422834404652[[#This Row],[Tým]],Tabulka17101363036424854[[Tým]:[ ]],3,FALSE)</f>
        <v>17.690000000000001</v>
      </c>
      <c r="AD31" s="25">
        <f>VLOOKUP(Tabulka38111422834404652[[#This Row],[Tým]],Tabulka17101363036424854[[Tým]:[ ]],4,FALSE)</f>
        <v>20.92</v>
      </c>
      <c r="AE31" s="25">
        <f>VLOOKUP(Tabulka38111422834404652[[#This Row],[Tým]],Tabulka17101363036424854[[Tým]:[ ]],7,FALSE)</f>
        <v>20.92</v>
      </c>
      <c r="AF31" s="29">
        <f>IF(Tabulka38111422834404652[[#This Row],[Výsledný čas]]="N",5,IF(Tabulka38111422834404652[[#This Row],[Výsledný čas]]="D",0,IF(Tabulka38111422834404652[[#This Row],[Výsledný čas]]="NEÚČAST",0,Tabulka8[[#Totals],[Týmy ženy]]+6-Tabulka38111422834404652[[#This Row],[Umístění]])))</f>
        <v>11</v>
      </c>
      <c r="AH31" s="31">
        <f>_xlfn.RANK.EQ(Tabulka59121532935414753[[#This Row],[Body]],Tabulka59121532935414753[Body],0)</f>
        <v>5</v>
      </c>
      <c r="AI31" s="51" t="s">
        <v>23</v>
      </c>
      <c r="AJ31" s="29">
        <f>VLOOKUP(Tabulka59121532935414753[[#This Row],[Tým]],Tabulka38111422834404652[[Tým]:[Body]],6,FALSE)+Tabulka59121532935414753[[#This Row],[ ]]</f>
        <v>68</v>
      </c>
      <c r="AK31" s="82">
        <f>VLOOKUP(Tabulka59121532935414753[[#This Row],[Tým]],Tabulka591215329354147[[Tým]:[Body]],2,FALSE)</f>
        <v>55</v>
      </c>
      <c r="AL31" s="47">
        <f>Tabulka59121532935414753[[#This Row],[Umístění]]</f>
        <v>5</v>
      </c>
      <c r="AP31" s="1"/>
    </row>
    <row r="32" spans="2:42" ht="24.95" customHeight="1" x14ac:dyDescent="0.4">
      <c r="D32" s="16"/>
      <c r="N32" s="68"/>
      <c r="P32" s="7"/>
      <c r="Q32" s="8"/>
      <c r="R32" s="8"/>
      <c r="Z32" s="31">
        <f>IF(Tabulka38111422834404652[[#This Row],[ ]]="NEÚČAST","",IF(OR(Tabulka38111422834404652[Výsledný čas]="N",Tabulka38111422834404652[Výsledný čas]="D"),Uvod!$E$6,_xlfn.RANK.EQ(Tabulka38111422834404652[[#This Row],[ ]],Tabulka38111422834404652[[ ]],1)))</f>
        <v>6</v>
      </c>
      <c r="AA32" s="51" t="s">
        <v>16</v>
      </c>
      <c r="AB32" s="44">
        <f>VLOOKUP(Tabulka38111422834404652[[#This Row],[Tým]],Tabulka17101363036424854[[Tým]:[ ]],2,FALSE)</f>
        <v>20.74</v>
      </c>
      <c r="AC32" s="44">
        <f>VLOOKUP(Tabulka38111422834404652[[#This Row],[Tým]],Tabulka17101363036424854[[Tým]:[ ]],3,FALSE)</f>
        <v>21.43</v>
      </c>
      <c r="AD32" s="25">
        <f>VLOOKUP(Tabulka38111422834404652[[#This Row],[Tým]],Tabulka17101363036424854[[Tým]:[ ]],4,FALSE)</f>
        <v>21.43</v>
      </c>
      <c r="AE32" s="25">
        <f>VLOOKUP(Tabulka38111422834404652[[#This Row],[Tým]],Tabulka17101363036424854[[Tým]:[ ]],7,FALSE)</f>
        <v>21.43</v>
      </c>
      <c r="AF32" s="29">
        <f>IF(Tabulka38111422834404652[[#This Row],[Výsledný čas]]="N",5,IF(Tabulka38111422834404652[[#This Row],[Výsledný čas]]="D",0,IF(Tabulka38111422834404652[[#This Row],[Výsledný čas]]="NEÚČAST",0,Tabulka8[[#Totals],[Týmy ženy]]+6-Tabulka38111422834404652[[#This Row],[Umístění]])))</f>
        <v>10</v>
      </c>
      <c r="AH32" s="31">
        <f>_xlfn.RANK.EQ(Tabulka59121532935414753[[#This Row],[Body]],Tabulka59121532935414753[Body],0)</f>
        <v>6</v>
      </c>
      <c r="AI32" s="51" t="s">
        <v>21</v>
      </c>
      <c r="AJ32" s="29">
        <f>VLOOKUP(Tabulka59121532935414753[[#This Row],[Tým]],Tabulka38111422834404652[[Tým]:[Body]],6,FALSE)+Tabulka59121532935414753[[#This Row],[ ]]</f>
        <v>63</v>
      </c>
      <c r="AK32" s="82">
        <f>VLOOKUP(Tabulka59121532935414753[[#This Row],[Tým]],Tabulka591215329354147[[Tým]:[Body]],2,FALSE)</f>
        <v>51</v>
      </c>
      <c r="AL32" s="47">
        <f>Tabulka59121532935414753[[#This Row],[Umístění]]</f>
        <v>6</v>
      </c>
      <c r="AP32" s="1"/>
    </row>
    <row r="33" spans="4:42" ht="24.95" customHeight="1" x14ac:dyDescent="0.4">
      <c r="D33" s="16"/>
      <c r="N33" s="68"/>
      <c r="P33" s="7"/>
      <c r="Q33" s="8"/>
      <c r="R33" s="8"/>
      <c r="Z33" s="31">
        <f>IF(Tabulka38111422834404652[[#This Row],[ ]]="NEÚČAST","",IF(OR(Tabulka38111422834404652[Výsledný čas]="N",Tabulka38111422834404652[Výsledný čas]="D"),Uvod!$E$6,_xlfn.RANK.EQ(Tabulka38111422834404652[[#This Row],[ ]],Tabulka38111422834404652[[ ]],1)))</f>
        <v>7</v>
      </c>
      <c r="AA33" s="51" t="s">
        <v>36</v>
      </c>
      <c r="AB33" s="44">
        <f>VLOOKUP(Tabulka38111422834404652[[#This Row],[Tým]],Tabulka17101363036424854[[Tým]:[ ]],2,FALSE)</f>
        <v>27.72</v>
      </c>
      <c r="AC33" s="44">
        <f>VLOOKUP(Tabulka38111422834404652[[#This Row],[Tým]],Tabulka17101363036424854[[Tým]:[ ]],3,FALSE)</f>
        <v>27.31</v>
      </c>
      <c r="AD33" s="25">
        <f>VLOOKUP(Tabulka38111422834404652[[#This Row],[Tým]],Tabulka17101363036424854[[Tým]:[ ]],4,FALSE)</f>
        <v>27.72</v>
      </c>
      <c r="AE33" s="25">
        <f>VLOOKUP(Tabulka38111422834404652[[#This Row],[Tým]],Tabulka17101363036424854[[Tým]:[ ]],7,FALSE)</f>
        <v>27.72</v>
      </c>
      <c r="AF33" s="29">
        <f>IF(Tabulka38111422834404652[[#This Row],[Výsledný čas]]="N",5,IF(Tabulka38111422834404652[[#This Row],[Výsledný čas]]="D",0,IF(Tabulka38111422834404652[[#This Row],[Výsledný čas]]="NEÚČAST",0,Tabulka8[[#Totals],[Týmy ženy]]+6-Tabulka38111422834404652[[#This Row],[Umístění]])))</f>
        <v>9</v>
      </c>
      <c r="AH33" s="31">
        <f>_xlfn.RANK.EQ(Tabulka59121532935414753[[#This Row],[Body]],Tabulka59121532935414753[Body],0)</f>
        <v>6</v>
      </c>
      <c r="AI33" s="51" t="s">
        <v>36</v>
      </c>
      <c r="AJ33" s="29">
        <f>VLOOKUP(Tabulka59121532935414753[[#This Row],[Tým]],Tabulka38111422834404652[[Tým]:[Body]],6,FALSE)+Tabulka59121532935414753[[#This Row],[ ]]</f>
        <v>63</v>
      </c>
      <c r="AK33" s="82">
        <f>VLOOKUP(Tabulka59121532935414753[[#This Row],[Tým]],Tabulka591215329354147[[Tým]:[Body]],2,FALSE)</f>
        <v>54</v>
      </c>
      <c r="AL33" s="47">
        <f>Tabulka59121532935414753[[#This Row],[Umístění]]</f>
        <v>6</v>
      </c>
      <c r="AP33" s="1"/>
    </row>
    <row r="34" spans="4:42" ht="24.95" customHeight="1" x14ac:dyDescent="0.4">
      <c r="D34" s="16"/>
      <c r="P34" s="7"/>
      <c r="Q34" s="8"/>
      <c r="R34" s="8"/>
      <c r="Z34" s="31">
        <f>IF(Tabulka38111422834404652[[#This Row],[ ]]="NEÚČAST","",IF(OR(Tabulka38111422834404652[Výsledný čas]="N",Tabulka38111422834404652[Výsledný čas]="D"),Uvod!$E$6,_xlfn.RANK.EQ(Tabulka38111422834404652[[#This Row],[ ]],Tabulka38111422834404652[[ ]],1)))</f>
        <v>8</v>
      </c>
      <c r="AA34" s="51" t="s">
        <v>15</v>
      </c>
      <c r="AB34" s="44">
        <f>VLOOKUP(Tabulka38111422834404652[[#This Row],[Tým]],Tabulka17101363036424854[[Tým]:[ ]],2,FALSE)</f>
        <v>19.89</v>
      </c>
      <c r="AC34" s="44">
        <f>VLOOKUP(Tabulka38111422834404652[[#This Row],[Tým]],Tabulka17101363036424854[[Tým]:[ ]],3,FALSE)</f>
        <v>35.130000000000003</v>
      </c>
      <c r="AD34" s="25">
        <f>VLOOKUP(Tabulka38111422834404652[[#This Row],[Tým]],Tabulka17101363036424854[[Tým]:[ ]],4,FALSE)</f>
        <v>35.130000000000003</v>
      </c>
      <c r="AE34" s="25">
        <f>VLOOKUP(Tabulka38111422834404652[[#This Row],[Tým]],Tabulka17101363036424854[[Tým]:[ ]],7,FALSE)</f>
        <v>35.130000000000003</v>
      </c>
      <c r="AF34" s="29">
        <f>IF(Tabulka38111422834404652[[#This Row],[Výsledný čas]]="N",5,IF(Tabulka38111422834404652[[#This Row],[Výsledný čas]]="D",0,IF(Tabulka38111422834404652[[#This Row],[Výsledný čas]]="NEÚČAST",0,Tabulka8[[#Totals],[Týmy ženy]]+6-Tabulka38111422834404652[[#This Row],[Umístění]])))</f>
        <v>8</v>
      </c>
      <c r="AH34" s="31">
        <f>_xlfn.RANK.EQ(Tabulka59121532935414753[[#This Row],[Body]],Tabulka59121532935414753[Body],0)</f>
        <v>8</v>
      </c>
      <c r="AI34" s="51" t="s">
        <v>16</v>
      </c>
      <c r="AJ34" s="29">
        <f>VLOOKUP(Tabulka59121532935414753[[#This Row],[Tým]],Tabulka38111422834404652[[Tým]:[Body]],6,FALSE)+Tabulka59121532935414753[[#This Row],[ ]]</f>
        <v>62</v>
      </c>
      <c r="AK34" s="82">
        <f>VLOOKUP(Tabulka59121532935414753[[#This Row],[Tým]],Tabulka591215329354147[[Tým]:[Body]],2,FALSE)</f>
        <v>52</v>
      </c>
      <c r="AL34" s="47">
        <f>Tabulka59121532935414753[[#This Row],[Umístění]]</f>
        <v>8</v>
      </c>
      <c r="AP34" s="1"/>
    </row>
    <row r="35" spans="4:42" ht="24.95" customHeight="1" x14ac:dyDescent="0.4">
      <c r="D35" s="16"/>
      <c r="P35" s="7"/>
      <c r="Q35" s="8"/>
      <c r="R35" s="8"/>
      <c r="Z35" s="31">
        <f>IF(Tabulka38111422834404652[[#This Row],[ ]]="NEÚČAST","",IF(OR(Tabulka38111422834404652[Výsledný čas]="N",Tabulka38111422834404652[Výsledný čas]="D"),Uvod!$E$6,_xlfn.RANK.EQ(Tabulka38111422834404652[[#This Row],[ ]],Tabulka38111422834404652[[ ]],1)))</f>
        <v>9</v>
      </c>
      <c r="AA35" s="51" t="s">
        <v>19</v>
      </c>
      <c r="AB35" s="44">
        <f>VLOOKUP(Tabulka38111422834404652[[#This Row],[Tým]],Tabulka17101363036424854[[Tým]:[ ]],2,FALSE)</f>
        <v>35.96</v>
      </c>
      <c r="AC35" s="44">
        <f>VLOOKUP(Tabulka38111422834404652[[#This Row],[Tým]],Tabulka17101363036424854[[Tým]:[ ]],3,FALSE)</f>
        <v>21.5</v>
      </c>
      <c r="AD35" s="25">
        <f>VLOOKUP(Tabulka38111422834404652[[#This Row],[Tým]],Tabulka17101363036424854[[Tým]:[ ]],4,FALSE)</f>
        <v>35.96</v>
      </c>
      <c r="AE35" s="25">
        <f>VLOOKUP(Tabulka38111422834404652[[#This Row],[Tým]],Tabulka17101363036424854[[Tým]:[ ]],7,FALSE)</f>
        <v>35.96</v>
      </c>
      <c r="AF35" s="29">
        <f>IF(Tabulka38111422834404652[[#This Row],[Výsledný čas]]="N",5,IF(Tabulka38111422834404652[[#This Row],[Výsledný čas]]="D",0,IF(Tabulka38111422834404652[[#This Row],[Výsledný čas]]="NEÚČAST",0,Tabulka8[[#Totals],[Týmy ženy]]+6-Tabulka38111422834404652[[#This Row],[Umístění]])))</f>
        <v>7</v>
      </c>
      <c r="AH35" s="31">
        <f>_xlfn.RANK.EQ(Tabulka59121532935414753[[#This Row],[Body]],Tabulka59121532935414753[Body],0)</f>
        <v>9</v>
      </c>
      <c r="AI35" s="51" t="s">
        <v>15</v>
      </c>
      <c r="AJ35" s="29">
        <f>VLOOKUP(Tabulka59121532935414753[[#This Row],[Tým]],Tabulka38111422834404652[[Tým]:[Body]],6,FALSE)+Tabulka59121532935414753[[#This Row],[ ]]</f>
        <v>60</v>
      </c>
      <c r="AK35" s="82">
        <f>VLOOKUP(Tabulka59121532935414753[[#This Row],[Tým]],Tabulka591215329354147[[Tým]:[Body]],2,FALSE)</f>
        <v>52</v>
      </c>
      <c r="AL35" s="47">
        <f>Tabulka59121532935414753[[#This Row],[Umístění]]</f>
        <v>9</v>
      </c>
      <c r="AP35" s="1"/>
    </row>
    <row r="36" spans="4:42" ht="24.95" customHeight="1" thickBot="1" x14ac:dyDescent="0.45">
      <c r="D36" s="16"/>
      <c r="P36" s="7"/>
      <c r="Q36" s="8"/>
      <c r="R36" s="8"/>
      <c r="Z36" s="33">
        <f>IF(Tabulka38111422834404652[[#This Row],[ ]]="NEÚČAST","",IF(OR(Tabulka38111422834404652[Výsledný čas]="N",Tabulka38111422834404652[Výsledný čas]="D"),Uvod!$E$6,_xlfn.RANK.EQ(Tabulka38111422834404652[[#This Row],[ ]],Tabulka38111422834404652[[ ]],1)))</f>
        <v>10</v>
      </c>
      <c r="AA36" s="62" t="s">
        <v>24</v>
      </c>
      <c r="AB36" s="45">
        <f>VLOOKUP(Tabulka38111422834404652[[#This Row],[Tým]],Tabulka17101363036424854[[Tým]:[ ]],2,FALSE)</f>
        <v>65.5</v>
      </c>
      <c r="AC36" s="45">
        <f>VLOOKUP(Tabulka38111422834404652[[#This Row],[Tým]],Tabulka17101363036424854[[Tým]:[ ]],3,FALSE)</f>
        <v>65.5</v>
      </c>
      <c r="AD36" s="34">
        <f>VLOOKUP(Tabulka38111422834404652[[#This Row],[Tým]],Tabulka17101363036424854[[Tým]:[ ]],4,FALSE)</f>
        <v>65.5</v>
      </c>
      <c r="AE36" s="34">
        <f>VLOOKUP(Tabulka38111422834404652[[#This Row],[Tým]],Tabulka17101363036424854[[Tým]:[ ]],7,FALSE)</f>
        <v>65.5</v>
      </c>
      <c r="AF36" s="36">
        <f>IF(Tabulka38111422834404652[[#This Row],[Výsledný čas]]="N",5,IF(Tabulka38111422834404652[[#This Row],[Výsledný čas]]="D",0,IF(Tabulka38111422834404652[[#This Row],[Výsledný čas]]="NEÚČAST",0,Tabulka8[[#Totals],[Týmy ženy]]+6-Tabulka38111422834404652[[#This Row],[Umístění]])))</f>
        <v>6</v>
      </c>
      <c r="AH36" s="33">
        <f>_xlfn.RANK.EQ(Tabulka59121532935414753[[#This Row],[Body]],Tabulka59121532935414753[Body],0)</f>
        <v>10</v>
      </c>
      <c r="AI36" s="62" t="s">
        <v>24</v>
      </c>
      <c r="AJ36" s="36">
        <f>VLOOKUP(Tabulka59121532935414753[[#This Row],[Tým]],Tabulka38111422834404652[[Tým]:[Body]],6,FALSE)+Tabulka59121532935414753[[#This Row],[ ]]</f>
        <v>45</v>
      </c>
      <c r="AK36" s="82">
        <f>VLOOKUP(Tabulka59121532935414753[[#This Row],[Tým]],Tabulka591215329354147[[Tým]:[Body]],2,FALSE)</f>
        <v>39</v>
      </c>
      <c r="AL36" s="93">
        <f>Tabulka59121532935414753[[#This Row],[Umístění]]</f>
        <v>10</v>
      </c>
      <c r="AP36" s="1"/>
    </row>
    <row r="37" spans="4:42" ht="24.95" customHeight="1" x14ac:dyDescent="0.4">
      <c r="D37" s="16"/>
      <c r="N37" s="70"/>
      <c r="P37" s="7"/>
      <c r="Q37" s="8"/>
      <c r="R37" s="8"/>
      <c r="AB37" s="3"/>
      <c r="AC37" s="3"/>
      <c r="AK37" s="4"/>
    </row>
    <row r="38" spans="4:42" ht="24.95" customHeight="1" x14ac:dyDescent="0.4">
      <c r="D38" s="16"/>
      <c r="N38" s="70"/>
      <c r="P38" s="7"/>
      <c r="Q38" s="8"/>
      <c r="R38" s="8"/>
      <c r="AB38" s="3"/>
      <c r="AC38" s="3"/>
      <c r="AK38" s="4"/>
    </row>
    <row r="39" spans="4:42" ht="24.95" customHeight="1" x14ac:dyDescent="0.4">
      <c r="D39" s="16"/>
      <c r="P39" s="7"/>
      <c r="Q39" s="8"/>
      <c r="R39" s="8"/>
      <c r="AB39" s="3"/>
      <c r="AC39" s="3"/>
      <c r="AK39" s="4"/>
    </row>
    <row r="40" spans="4:42" ht="24.95" customHeight="1" x14ac:dyDescent="0.4">
      <c r="D40" s="16"/>
      <c r="P40" s="7"/>
      <c r="Q40" s="8"/>
      <c r="R40" s="8"/>
      <c r="AB40" s="3"/>
      <c r="AC40" s="3"/>
      <c r="AK40" s="4"/>
    </row>
    <row r="41" spans="4:42" ht="24.95" customHeight="1" x14ac:dyDescent="0.4">
      <c r="D41" s="16"/>
      <c r="P41" s="7"/>
      <c r="Q41" s="8"/>
      <c r="R41" s="8"/>
      <c r="AB41" s="3"/>
      <c r="AC41" s="3"/>
      <c r="AK41" s="4"/>
    </row>
    <row r="42" spans="4:42" ht="24.95" customHeight="1" x14ac:dyDescent="0.4">
      <c r="D42" s="16"/>
      <c r="N42" s="68"/>
      <c r="P42" s="7"/>
      <c r="Q42" s="8"/>
      <c r="R42" s="8"/>
      <c r="AB42" s="3"/>
      <c r="AC42" s="3"/>
      <c r="AK42" s="4"/>
    </row>
    <row r="43" spans="4:42" ht="24.95" customHeight="1" x14ac:dyDescent="0.4">
      <c r="D43" s="16"/>
      <c r="N43" s="68"/>
      <c r="P43" s="7"/>
      <c r="Q43" s="8"/>
      <c r="R43" s="8"/>
      <c r="AB43" s="3"/>
      <c r="AC43" s="3"/>
      <c r="AK43" s="4"/>
    </row>
    <row r="44" spans="4:42" ht="24.95" customHeight="1" x14ac:dyDescent="0.4">
      <c r="D44" s="16"/>
      <c r="P44" s="7"/>
      <c r="Q44" s="8"/>
      <c r="R44" s="8"/>
    </row>
    <row r="45" spans="4:42" ht="24.95" customHeight="1" x14ac:dyDescent="0.4">
      <c r="D45" s="16"/>
      <c r="P45" s="7"/>
      <c r="Q45" s="8"/>
      <c r="R45" s="8"/>
    </row>
    <row r="46" spans="4:42" ht="24.95" customHeight="1" x14ac:dyDescent="0.4">
      <c r="D46" s="16"/>
      <c r="P46" s="7"/>
      <c r="Q46" s="8"/>
      <c r="R46" s="8"/>
    </row>
    <row r="47" spans="4:42" ht="24.95" customHeight="1" x14ac:dyDescent="0.4">
      <c r="D47" s="16"/>
      <c r="N47" s="68"/>
      <c r="P47" s="7"/>
      <c r="Q47" s="8"/>
      <c r="R47" s="8"/>
    </row>
    <row r="48" spans="4:42" ht="24.95" customHeight="1" x14ac:dyDescent="0.4">
      <c r="D48" s="16"/>
      <c r="N48" s="68"/>
      <c r="P48" s="7"/>
      <c r="Q48" s="8"/>
      <c r="R48" s="8"/>
    </row>
    <row r="49" spans="4:18" ht="24.95" customHeight="1" x14ac:dyDescent="0.4">
      <c r="D49" s="16"/>
      <c r="P49" s="7"/>
      <c r="Q49" s="8"/>
      <c r="R49" s="8"/>
    </row>
    <row r="50" spans="4:18" ht="24.95" customHeight="1" x14ac:dyDescent="0.4">
      <c r="D50" s="16"/>
      <c r="P50" s="7"/>
      <c r="Q50" s="8"/>
      <c r="R50" s="8"/>
    </row>
    <row r="51" spans="4:18" ht="24.95" customHeight="1" x14ac:dyDescent="0.4">
      <c r="D51" s="16"/>
      <c r="P51" s="7"/>
      <c r="Q51" s="8"/>
      <c r="R51" s="8"/>
    </row>
    <row r="52" spans="4:18" ht="24.95" customHeight="1" x14ac:dyDescent="0.4">
      <c r="D52" s="16"/>
      <c r="P52" s="16"/>
    </row>
    <row r="53" spans="4:18" ht="24.95" customHeight="1" x14ac:dyDescent="0.4">
      <c r="D53" s="16"/>
      <c r="P53" s="16"/>
    </row>
    <row r="54" spans="4:18" x14ac:dyDescent="0.4">
      <c r="D54" s="16"/>
      <c r="P54" s="16"/>
    </row>
    <row r="55" spans="4:18" x14ac:dyDescent="0.4">
      <c r="D55" s="16"/>
      <c r="P55" s="16"/>
    </row>
    <row r="56" spans="4:18" x14ac:dyDescent="0.4">
      <c r="D56" s="16"/>
      <c r="P56" s="16"/>
    </row>
  </sheetData>
  <mergeCells count="6">
    <mergeCell ref="B2:J2"/>
    <mergeCell ref="N2:V2"/>
    <mergeCell ref="Z2:AF2"/>
    <mergeCell ref="AH2:AK2"/>
    <mergeCell ref="Z25:AF25"/>
    <mergeCell ref="AH25:AK25"/>
  </mergeCells>
  <phoneticPr fontId="12" type="noConversion"/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17</vt:i4>
      </vt:variant>
    </vt:vector>
  </HeadingPairs>
  <TitlesOfParts>
    <vt:vector size="17" baseType="lpstr">
      <vt:lpstr>Uvod</vt:lpstr>
      <vt:lpstr>Grafy</vt:lpstr>
      <vt:lpstr>1. k</vt:lpstr>
      <vt:lpstr>2. k</vt:lpstr>
      <vt:lpstr>3. k</vt:lpstr>
      <vt:lpstr>4. k</vt:lpstr>
      <vt:lpstr>5. k</vt:lpstr>
      <vt:lpstr>6. k</vt:lpstr>
      <vt:lpstr>7. k</vt:lpstr>
      <vt:lpstr>8. k</vt:lpstr>
      <vt:lpstr>9. k</vt:lpstr>
      <vt:lpstr>10. k</vt:lpstr>
      <vt:lpstr>11. k</vt:lpstr>
      <vt:lpstr>12. k</vt:lpstr>
      <vt:lpstr>13. k</vt:lpstr>
      <vt:lpstr>14. k</vt:lpstr>
      <vt:lpstr>15. 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Fadrný</dc:creator>
  <cp:lastModifiedBy>Uživatel systému Windows</cp:lastModifiedBy>
  <cp:lastPrinted>2023-06-09T11:44:26Z</cp:lastPrinted>
  <dcterms:created xsi:type="dcterms:W3CDTF">2015-06-05T18:19:34Z</dcterms:created>
  <dcterms:modified xsi:type="dcterms:W3CDTF">2023-07-27T08:53:57Z</dcterms:modified>
</cp:coreProperties>
</file>